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lf Dept Shared\00 HANDICAP\2026 HANDICAP\"/>
    </mc:Choice>
  </mc:AlternateContent>
  <xr:revisionPtr revIDLastSave="0" documentId="13_ncr:1_{2EF3F122-61F6-406A-851C-70ADD956BBD7}" xr6:coauthVersionLast="47" xr6:coauthVersionMax="47" xr10:uidLastSave="{00000000-0000-0000-0000-000000000000}"/>
  <bookViews>
    <workbookView xWindow="-108" yWindow="-108" windowWidth="23256" windowHeight="12456" xr2:uid="{4488ED88-31A0-4C92-957A-2CDDAB0F8F2A}"/>
  </bookViews>
  <sheets>
    <sheet name="MENS" sheetId="2" r:id="rId1"/>
    <sheet name="LADIES" sheetId="1" r:id="rId2"/>
  </sheets>
  <definedNames>
    <definedName name="_xlnm.Print_Titles" localSheetId="1">LADIES!$1:$7</definedName>
    <definedName name="_xlnm.Print_Titles" localSheetId="0">MENS!$1:$7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9" i="1" l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A331" i="1"/>
  <c r="C330" i="1"/>
  <c r="A330" i="1"/>
  <c r="A329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A95" i="1"/>
  <c r="A94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A76" i="1"/>
  <c r="A75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9" i="1"/>
  <c r="A19" i="1"/>
  <c r="C18" i="1"/>
  <c r="A18" i="1"/>
  <c r="C17" i="1"/>
  <c r="A17" i="1"/>
  <c r="C16" i="1"/>
  <c r="A16" i="1"/>
  <c r="C15" i="1"/>
  <c r="A15" i="1"/>
  <c r="C14" i="1"/>
  <c r="A14" i="1"/>
  <c r="C13" i="1"/>
  <c r="A13" i="1"/>
  <c r="C12" i="1"/>
  <c r="A12" i="1"/>
  <c r="C11" i="1"/>
  <c r="A11" i="1"/>
  <c r="C10" i="1"/>
  <c r="A10" i="1"/>
  <c r="C9" i="1"/>
  <c r="A9" i="1"/>
  <c r="C8" i="1"/>
  <c r="A8" i="1"/>
  <c r="K917" i="2"/>
  <c r="J917" i="2"/>
  <c r="I917" i="2"/>
  <c r="H917" i="2"/>
  <c r="G917" i="2"/>
  <c r="F917" i="2"/>
  <c r="E917" i="2"/>
  <c r="D917" i="2"/>
  <c r="K797" i="2"/>
  <c r="J797" i="2"/>
  <c r="I797" i="2"/>
  <c r="H797" i="2"/>
  <c r="G797" i="2"/>
  <c r="F797" i="2"/>
  <c r="E797" i="2"/>
  <c r="D797" i="2"/>
  <c r="K723" i="2"/>
  <c r="J723" i="2"/>
  <c r="I723" i="2"/>
  <c r="H723" i="2"/>
  <c r="G723" i="2"/>
  <c r="F723" i="2"/>
  <c r="E723" i="2"/>
  <c r="D723" i="2"/>
  <c r="K672" i="2"/>
  <c r="J672" i="2"/>
  <c r="I672" i="2"/>
  <c r="H672" i="2"/>
  <c r="G672" i="2"/>
  <c r="F672" i="2"/>
  <c r="E672" i="2"/>
  <c r="D672" i="2"/>
  <c r="K894" i="2"/>
  <c r="J894" i="2"/>
  <c r="I894" i="2"/>
  <c r="H894" i="2"/>
  <c r="G894" i="2"/>
  <c r="F894" i="2"/>
  <c r="E894" i="2"/>
  <c r="D894" i="2"/>
  <c r="K882" i="2"/>
  <c r="J882" i="2"/>
  <c r="I882" i="2"/>
  <c r="H882" i="2"/>
  <c r="G882" i="2"/>
  <c r="F882" i="2"/>
  <c r="E882" i="2"/>
  <c r="D882" i="2"/>
  <c r="K671" i="2"/>
  <c r="J671" i="2"/>
  <c r="I671" i="2"/>
  <c r="H671" i="2"/>
  <c r="G671" i="2"/>
  <c r="F671" i="2"/>
  <c r="E671" i="2"/>
  <c r="D671" i="2"/>
  <c r="K603" i="2"/>
  <c r="J603" i="2"/>
  <c r="I603" i="2"/>
  <c r="H603" i="2"/>
  <c r="G603" i="2"/>
  <c r="F603" i="2"/>
  <c r="E603" i="2"/>
  <c r="D603" i="2"/>
  <c r="K528" i="2"/>
  <c r="J528" i="2"/>
  <c r="I528" i="2"/>
  <c r="H528" i="2"/>
  <c r="G528" i="2"/>
  <c r="F528" i="2"/>
  <c r="E528" i="2"/>
  <c r="D528" i="2"/>
  <c r="K711" i="2"/>
  <c r="J711" i="2"/>
  <c r="I711" i="2"/>
  <c r="H711" i="2"/>
  <c r="G711" i="2"/>
  <c r="F711" i="2"/>
  <c r="E711" i="2"/>
  <c r="D711" i="2"/>
  <c r="K901" i="2"/>
  <c r="J901" i="2"/>
  <c r="I901" i="2"/>
  <c r="H901" i="2"/>
  <c r="G901" i="2"/>
  <c r="F901" i="2"/>
  <c r="E901" i="2"/>
  <c r="D901" i="2"/>
  <c r="K870" i="2"/>
  <c r="J870" i="2"/>
  <c r="I870" i="2"/>
  <c r="H870" i="2"/>
  <c r="G870" i="2"/>
  <c r="F870" i="2"/>
  <c r="E870" i="2"/>
  <c r="D870" i="2"/>
  <c r="K540" i="2"/>
  <c r="J540" i="2"/>
  <c r="I540" i="2"/>
  <c r="H540" i="2"/>
  <c r="G540" i="2"/>
  <c r="F540" i="2"/>
  <c r="E540" i="2"/>
  <c r="D540" i="2"/>
  <c r="K555" i="2"/>
  <c r="J555" i="2"/>
  <c r="I555" i="2"/>
  <c r="H555" i="2"/>
  <c r="G555" i="2"/>
  <c r="F555" i="2"/>
  <c r="E555" i="2"/>
  <c r="D555" i="2"/>
  <c r="K918" i="2"/>
  <c r="J918" i="2"/>
  <c r="I918" i="2"/>
  <c r="H918" i="2"/>
  <c r="G918" i="2"/>
  <c r="F918" i="2"/>
  <c r="E918" i="2"/>
  <c r="D918" i="2"/>
  <c r="K905" i="2"/>
  <c r="J905" i="2"/>
  <c r="I905" i="2"/>
  <c r="H905" i="2"/>
  <c r="G905" i="2"/>
  <c r="F905" i="2"/>
  <c r="E905" i="2"/>
  <c r="D905" i="2"/>
  <c r="K830" i="2"/>
  <c r="J830" i="2"/>
  <c r="I830" i="2"/>
  <c r="H830" i="2"/>
  <c r="G830" i="2"/>
  <c r="F830" i="2"/>
  <c r="E830" i="2"/>
  <c r="D830" i="2"/>
  <c r="K544" i="2"/>
  <c r="J544" i="2"/>
  <c r="I544" i="2"/>
  <c r="H544" i="2"/>
  <c r="G544" i="2"/>
  <c r="F544" i="2"/>
  <c r="E544" i="2"/>
  <c r="D544" i="2"/>
  <c r="K739" i="2"/>
  <c r="J739" i="2"/>
  <c r="I739" i="2"/>
  <c r="H739" i="2"/>
  <c r="G739" i="2"/>
  <c r="F739" i="2"/>
  <c r="E739" i="2"/>
  <c r="D739" i="2"/>
  <c r="K378" i="2"/>
  <c r="J378" i="2"/>
  <c r="I378" i="2"/>
  <c r="H378" i="2"/>
  <c r="G378" i="2"/>
  <c r="F378" i="2"/>
  <c r="E378" i="2"/>
  <c r="D378" i="2"/>
  <c r="K371" i="2"/>
  <c r="J371" i="2"/>
  <c r="I371" i="2"/>
  <c r="H371" i="2"/>
  <c r="G371" i="2"/>
  <c r="F371" i="2"/>
  <c r="E371" i="2"/>
  <c r="D371" i="2"/>
  <c r="K585" i="2"/>
  <c r="J585" i="2"/>
  <c r="I585" i="2"/>
  <c r="H585" i="2"/>
  <c r="G585" i="2"/>
  <c r="F585" i="2"/>
  <c r="E585" i="2"/>
  <c r="D585" i="2"/>
  <c r="K360" i="2"/>
  <c r="J360" i="2"/>
  <c r="I360" i="2"/>
  <c r="H360" i="2"/>
  <c r="G360" i="2"/>
  <c r="F360" i="2"/>
  <c r="E360" i="2"/>
  <c r="D360" i="2"/>
  <c r="K811" i="2"/>
  <c r="J811" i="2"/>
  <c r="I811" i="2"/>
  <c r="H811" i="2"/>
  <c r="G811" i="2"/>
  <c r="F811" i="2"/>
  <c r="E811" i="2"/>
  <c r="D811" i="2"/>
  <c r="K548" i="2"/>
  <c r="J548" i="2"/>
  <c r="I548" i="2"/>
  <c r="H548" i="2"/>
  <c r="G548" i="2"/>
  <c r="F548" i="2"/>
  <c r="E548" i="2"/>
  <c r="D548" i="2"/>
  <c r="K593" i="2"/>
  <c r="J593" i="2"/>
  <c r="I593" i="2"/>
  <c r="H593" i="2"/>
  <c r="G593" i="2"/>
  <c r="F593" i="2"/>
  <c r="E593" i="2"/>
  <c r="D593" i="2"/>
  <c r="K425" i="2"/>
  <c r="J425" i="2"/>
  <c r="I425" i="2"/>
  <c r="H425" i="2"/>
  <c r="G425" i="2"/>
  <c r="F425" i="2"/>
  <c r="E425" i="2"/>
  <c r="D425" i="2"/>
  <c r="K312" i="2"/>
  <c r="J312" i="2"/>
  <c r="I312" i="2"/>
  <c r="H312" i="2"/>
  <c r="G312" i="2"/>
  <c r="F312" i="2"/>
  <c r="E312" i="2"/>
  <c r="D312" i="2"/>
  <c r="K872" i="2"/>
  <c r="J872" i="2"/>
  <c r="I872" i="2"/>
  <c r="H872" i="2"/>
  <c r="G872" i="2"/>
  <c r="F872" i="2"/>
  <c r="E872" i="2"/>
  <c r="D872" i="2"/>
  <c r="K929" i="2"/>
  <c r="J929" i="2"/>
  <c r="I929" i="2"/>
  <c r="H929" i="2"/>
  <c r="G929" i="2"/>
  <c r="F929" i="2"/>
  <c r="E929" i="2"/>
  <c r="D929" i="2"/>
  <c r="K776" i="2"/>
  <c r="J776" i="2"/>
  <c r="I776" i="2"/>
  <c r="H776" i="2"/>
  <c r="G776" i="2"/>
  <c r="F776" i="2"/>
  <c r="E776" i="2"/>
  <c r="D776" i="2"/>
  <c r="K703" i="2"/>
  <c r="J703" i="2"/>
  <c r="I703" i="2"/>
  <c r="H703" i="2"/>
  <c r="G703" i="2"/>
  <c r="F703" i="2"/>
  <c r="E703" i="2"/>
  <c r="D703" i="2"/>
  <c r="K488" i="2"/>
  <c r="J488" i="2"/>
  <c r="I488" i="2"/>
  <c r="H488" i="2"/>
  <c r="G488" i="2"/>
  <c r="F488" i="2"/>
  <c r="E488" i="2"/>
  <c r="D488" i="2"/>
  <c r="K397" i="2"/>
  <c r="J397" i="2"/>
  <c r="I397" i="2"/>
  <c r="H397" i="2"/>
  <c r="G397" i="2"/>
  <c r="F397" i="2"/>
  <c r="E397" i="2"/>
  <c r="D397" i="2"/>
  <c r="K197" i="2"/>
  <c r="J197" i="2"/>
  <c r="I197" i="2"/>
  <c r="H197" i="2"/>
  <c r="G197" i="2"/>
  <c r="F197" i="2"/>
  <c r="E197" i="2"/>
  <c r="D197" i="2"/>
  <c r="K542" i="2"/>
  <c r="J542" i="2"/>
  <c r="I542" i="2"/>
  <c r="H542" i="2"/>
  <c r="G542" i="2"/>
  <c r="F542" i="2"/>
  <c r="E542" i="2"/>
  <c r="D542" i="2"/>
  <c r="K283" i="2"/>
  <c r="J283" i="2"/>
  <c r="I283" i="2"/>
  <c r="H283" i="2"/>
  <c r="G283" i="2"/>
  <c r="F283" i="2"/>
  <c r="E283" i="2"/>
  <c r="D283" i="2"/>
  <c r="K635" i="2"/>
  <c r="J635" i="2"/>
  <c r="I635" i="2"/>
  <c r="H635" i="2"/>
  <c r="G635" i="2"/>
  <c r="F635" i="2"/>
  <c r="E635" i="2"/>
  <c r="D635" i="2"/>
  <c r="K221" i="2"/>
  <c r="J221" i="2"/>
  <c r="I221" i="2"/>
  <c r="H221" i="2"/>
  <c r="G221" i="2"/>
  <c r="F221" i="2"/>
  <c r="E221" i="2"/>
  <c r="D221" i="2"/>
  <c r="K785" i="2"/>
  <c r="J785" i="2"/>
  <c r="I785" i="2"/>
  <c r="H785" i="2"/>
  <c r="G785" i="2"/>
  <c r="F785" i="2"/>
  <c r="E785" i="2"/>
  <c r="D785" i="2"/>
  <c r="K484" i="2"/>
  <c r="J484" i="2"/>
  <c r="I484" i="2"/>
  <c r="H484" i="2"/>
  <c r="G484" i="2"/>
  <c r="F484" i="2"/>
  <c r="E484" i="2"/>
  <c r="D484" i="2"/>
  <c r="K355" i="2"/>
  <c r="J355" i="2"/>
  <c r="I355" i="2"/>
  <c r="H355" i="2"/>
  <c r="G355" i="2"/>
  <c r="F355" i="2"/>
  <c r="E355" i="2"/>
  <c r="D355" i="2"/>
  <c r="K144" i="2"/>
  <c r="J144" i="2"/>
  <c r="I144" i="2"/>
  <c r="H144" i="2"/>
  <c r="G144" i="2"/>
  <c r="F144" i="2"/>
  <c r="E144" i="2"/>
  <c r="D144" i="2"/>
  <c r="K114" i="2"/>
  <c r="J114" i="2"/>
  <c r="I114" i="2"/>
  <c r="H114" i="2"/>
  <c r="G114" i="2"/>
  <c r="F114" i="2"/>
  <c r="E114" i="2"/>
  <c r="D114" i="2"/>
  <c r="K829" i="2"/>
  <c r="J829" i="2"/>
  <c r="I829" i="2"/>
  <c r="H829" i="2"/>
  <c r="G829" i="2"/>
  <c r="F829" i="2"/>
  <c r="E829" i="2"/>
  <c r="D829" i="2"/>
  <c r="K572" i="2"/>
  <c r="J572" i="2"/>
  <c r="I572" i="2"/>
  <c r="H572" i="2"/>
  <c r="G572" i="2"/>
  <c r="F572" i="2"/>
  <c r="E572" i="2"/>
  <c r="D572" i="2"/>
  <c r="K464" i="2"/>
  <c r="J464" i="2"/>
  <c r="I464" i="2"/>
  <c r="H464" i="2"/>
  <c r="G464" i="2"/>
  <c r="F464" i="2"/>
  <c r="E464" i="2"/>
  <c r="D464" i="2"/>
  <c r="K211" i="2"/>
  <c r="J211" i="2"/>
  <c r="I211" i="2"/>
  <c r="H211" i="2"/>
  <c r="G211" i="2"/>
  <c r="F211" i="2"/>
  <c r="E211" i="2"/>
  <c r="D211" i="2"/>
  <c r="K173" i="2"/>
  <c r="J173" i="2"/>
  <c r="I173" i="2"/>
  <c r="H173" i="2"/>
  <c r="G173" i="2"/>
  <c r="F173" i="2"/>
  <c r="E173" i="2"/>
  <c r="D173" i="2"/>
  <c r="K932" i="2"/>
  <c r="J932" i="2"/>
  <c r="I932" i="2"/>
  <c r="H932" i="2"/>
  <c r="G932" i="2"/>
  <c r="F932" i="2"/>
  <c r="E932" i="2"/>
  <c r="D932" i="2"/>
  <c r="K529" i="2"/>
  <c r="J529" i="2"/>
  <c r="I529" i="2"/>
  <c r="H529" i="2"/>
  <c r="G529" i="2"/>
  <c r="F529" i="2"/>
  <c r="E529" i="2"/>
  <c r="D529" i="2"/>
  <c r="K503" i="2"/>
  <c r="J503" i="2"/>
  <c r="I503" i="2"/>
  <c r="H503" i="2"/>
  <c r="G503" i="2"/>
  <c r="F503" i="2"/>
  <c r="E503" i="2"/>
  <c r="D503" i="2"/>
  <c r="K58" i="2"/>
  <c r="J58" i="2"/>
  <c r="I58" i="2"/>
  <c r="H58" i="2"/>
  <c r="G58" i="2"/>
  <c r="F58" i="2"/>
  <c r="E58" i="2"/>
  <c r="D58" i="2"/>
  <c r="K500" i="2"/>
  <c r="J500" i="2"/>
  <c r="I500" i="2"/>
  <c r="H500" i="2"/>
  <c r="G500" i="2"/>
  <c r="F500" i="2"/>
  <c r="E500" i="2"/>
  <c r="D500" i="2"/>
  <c r="K387" i="2"/>
  <c r="J387" i="2"/>
  <c r="I387" i="2"/>
  <c r="H387" i="2"/>
  <c r="G387" i="2"/>
  <c r="F387" i="2"/>
  <c r="E387" i="2"/>
  <c r="D387" i="2"/>
  <c r="K624" i="2"/>
  <c r="J624" i="2"/>
  <c r="I624" i="2"/>
  <c r="H624" i="2"/>
  <c r="G624" i="2"/>
  <c r="F624" i="2"/>
  <c r="E624" i="2"/>
  <c r="D624" i="2"/>
  <c r="K335" i="2"/>
  <c r="J335" i="2"/>
  <c r="I335" i="2"/>
  <c r="H335" i="2"/>
  <c r="G335" i="2"/>
  <c r="F335" i="2"/>
  <c r="E335" i="2"/>
  <c r="D335" i="2"/>
  <c r="K200" i="2"/>
  <c r="J200" i="2"/>
  <c r="I200" i="2"/>
  <c r="H200" i="2"/>
  <c r="G200" i="2"/>
  <c r="F200" i="2"/>
  <c r="E200" i="2"/>
  <c r="D200" i="2"/>
  <c r="K727" i="2"/>
  <c r="J727" i="2"/>
  <c r="I727" i="2"/>
  <c r="H727" i="2"/>
  <c r="G727" i="2"/>
  <c r="F727" i="2"/>
  <c r="E727" i="2"/>
  <c r="D727" i="2"/>
  <c r="K710" i="2"/>
  <c r="J710" i="2"/>
  <c r="I710" i="2"/>
  <c r="H710" i="2"/>
  <c r="G710" i="2"/>
  <c r="F710" i="2"/>
  <c r="E710" i="2"/>
  <c r="D710" i="2"/>
  <c r="K667" i="2"/>
  <c r="J667" i="2"/>
  <c r="I667" i="2"/>
  <c r="H667" i="2"/>
  <c r="G667" i="2"/>
  <c r="F667" i="2"/>
  <c r="E667" i="2"/>
  <c r="D667" i="2"/>
  <c r="K409" i="2"/>
  <c r="J409" i="2"/>
  <c r="I409" i="2"/>
  <c r="H409" i="2"/>
  <c r="G409" i="2"/>
  <c r="F409" i="2"/>
  <c r="E409" i="2"/>
  <c r="D409" i="2"/>
  <c r="K167" i="2"/>
  <c r="J167" i="2"/>
  <c r="I167" i="2"/>
  <c r="H167" i="2"/>
  <c r="G167" i="2"/>
  <c r="F167" i="2"/>
  <c r="E167" i="2"/>
  <c r="D167" i="2"/>
  <c r="K61" i="2"/>
  <c r="J61" i="2"/>
  <c r="I61" i="2"/>
  <c r="H61" i="2"/>
  <c r="G61" i="2"/>
  <c r="F61" i="2"/>
  <c r="E61" i="2"/>
  <c r="D61" i="2"/>
  <c r="K926" i="2"/>
  <c r="J926" i="2"/>
  <c r="I926" i="2"/>
  <c r="H926" i="2"/>
  <c r="G926" i="2"/>
  <c r="F926" i="2"/>
  <c r="E926" i="2"/>
  <c r="D926" i="2"/>
  <c r="K803" i="2"/>
  <c r="J803" i="2"/>
  <c r="I803" i="2"/>
  <c r="H803" i="2"/>
  <c r="G803" i="2"/>
  <c r="F803" i="2"/>
  <c r="E803" i="2"/>
  <c r="D803" i="2"/>
  <c r="K520" i="2"/>
  <c r="J520" i="2"/>
  <c r="I520" i="2"/>
  <c r="H520" i="2"/>
  <c r="G520" i="2"/>
  <c r="F520" i="2"/>
  <c r="E520" i="2"/>
  <c r="D520" i="2"/>
  <c r="K514" i="2"/>
  <c r="J514" i="2"/>
  <c r="I514" i="2"/>
  <c r="H514" i="2"/>
  <c r="G514" i="2"/>
  <c r="F514" i="2"/>
  <c r="E514" i="2"/>
  <c r="D514" i="2"/>
  <c r="K373" i="2"/>
  <c r="J373" i="2"/>
  <c r="I373" i="2"/>
  <c r="H373" i="2"/>
  <c r="G373" i="2"/>
  <c r="F373" i="2"/>
  <c r="E373" i="2"/>
  <c r="D373" i="2"/>
  <c r="K352" i="2"/>
  <c r="J352" i="2"/>
  <c r="I352" i="2"/>
  <c r="H352" i="2"/>
  <c r="G352" i="2"/>
  <c r="F352" i="2"/>
  <c r="E352" i="2"/>
  <c r="D352" i="2"/>
  <c r="K47" i="2"/>
  <c r="J47" i="2"/>
  <c r="I47" i="2"/>
  <c r="H47" i="2"/>
  <c r="G47" i="2"/>
  <c r="F47" i="2"/>
  <c r="E47" i="2"/>
  <c r="D47" i="2"/>
  <c r="K861" i="2"/>
  <c r="J861" i="2"/>
  <c r="I861" i="2"/>
  <c r="H861" i="2"/>
  <c r="G861" i="2"/>
  <c r="F861" i="2"/>
  <c r="E861" i="2"/>
  <c r="D861" i="2"/>
  <c r="K328" i="2"/>
  <c r="J328" i="2"/>
  <c r="I328" i="2"/>
  <c r="H328" i="2"/>
  <c r="G328" i="2"/>
  <c r="F328" i="2"/>
  <c r="E328" i="2"/>
  <c r="D328" i="2"/>
  <c r="K178" i="2"/>
  <c r="J178" i="2"/>
  <c r="I178" i="2"/>
  <c r="H178" i="2"/>
  <c r="G178" i="2"/>
  <c r="F178" i="2"/>
  <c r="E178" i="2"/>
  <c r="D178" i="2"/>
  <c r="K25" i="2"/>
  <c r="J25" i="2"/>
  <c r="I25" i="2"/>
  <c r="H25" i="2"/>
  <c r="G25" i="2"/>
  <c r="F25" i="2"/>
  <c r="E25" i="2"/>
  <c r="D25" i="2"/>
  <c r="K943" i="2"/>
  <c r="J943" i="2"/>
  <c r="I943" i="2"/>
  <c r="H943" i="2"/>
  <c r="G943" i="2"/>
  <c r="F943" i="2"/>
  <c r="E943" i="2"/>
  <c r="D943" i="2"/>
  <c r="K925" i="2"/>
  <c r="J925" i="2"/>
  <c r="I925" i="2"/>
  <c r="H925" i="2"/>
  <c r="G925" i="2"/>
  <c r="F925" i="2"/>
  <c r="E925" i="2"/>
  <c r="D925" i="2"/>
  <c r="K804" i="2"/>
  <c r="J804" i="2"/>
  <c r="I804" i="2"/>
  <c r="H804" i="2"/>
  <c r="G804" i="2"/>
  <c r="F804" i="2"/>
  <c r="E804" i="2"/>
  <c r="D804" i="2"/>
  <c r="K395" i="2"/>
  <c r="J395" i="2"/>
  <c r="I395" i="2"/>
  <c r="H395" i="2"/>
  <c r="G395" i="2"/>
  <c r="F395" i="2"/>
  <c r="E395" i="2"/>
  <c r="D395" i="2"/>
  <c r="K391" i="2"/>
  <c r="J391" i="2"/>
  <c r="I391" i="2"/>
  <c r="H391" i="2"/>
  <c r="G391" i="2"/>
  <c r="F391" i="2"/>
  <c r="E391" i="2"/>
  <c r="D391" i="2"/>
  <c r="K845" i="2"/>
  <c r="J845" i="2"/>
  <c r="I845" i="2"/>
  <c r="H845" i="2"/>
  <c r="G845" i="2"/>
  <c r="F845" i="2"/>
  <c r="E845" i="2"/>
  <c r="D845" i="2"/>
  <c r="K812" i="2"/>
  <c r="J812" i="2"/>
  <c r="I812" i="2"/>
  <c r="H812" i="2"/>
  <c r="G812" i="2"/>
  <c r="F812" i="2"/>
  <c r="E812" i="2"/>
  <c r="D812" i="2"/>
  <c r="K304" i="2"/>
  <c r="J304" i="2"/>
  <c r="I304" i="2"/>
  <c r="H304" i="2"/>
  <c r="G304" i="2"/>
  <c r="F304" i="2"/>
  <c r="E304" i="2"/>
  <c r="D304" i="2"/>
  <c r="K54" i="2"/>
  <c r="J54" i="2"/>
  <c r="I54" i="2"/>
  <c r="H54" i="2"/>
  <c r="G54" i="2"/>
  <c r="F54" i="2"/>
  <c r="E54" i="2"/>
  <c r="D54" i="2"/>
  <c r="K41" i="2"/>
  <c r="J41" i="2"/>
  <c r="I41" i="2"/>
  <c r="H41" i="2"/>
  <c r="G41" i="2"/>
  <c r="F41" i="2"/>
  <c r="E41" i="2"/>
  <c r="D41" i="2"/>
  <c r="K170" i="2"/>
  <c r="J170" i="2"/>
  <c r="I170" i="2"/>
  <c r="H170" i="2"/>
  <c r="G170" i="2"/>
  <c r="F170" i="2"/>
  <c r="E170" i="2"/>
  <c r="D170" i="2"/>
  <c r="K121" i="2"/>
  <c r="J121" i="2"/>
  <c r="I121" i="2"/>
  <c r="H121" i="2"/>
  <c r="G121" i="2"/>
  <c r="F121" i="2"/>
  <c r="E121" i="2"/>
  <c r="D121" i="2"/>
  <c r="K582" i="2"/>
  <c r="J582" i="2"/>
  <c r="I582" i="2"/>
  <c r="H582" i="2"/>
  <c r="G582" i="2"/>
  <c r="F582" i="2"/>
  <c r="E582" i="2"/>
  <c r="D582" i="2"/>
  <c r="K104" i="2"/>
  <c r="J104" i="2"/>
  <c r="I104" i="2"/>
  <c r="H104" i="2"/>
  <c r="G104" i="2"/>
  <c r="F104" i="2"/>
  <c r="E104" i="2"/>
  <c r="D104" i="2"/>
  <c r="K64" i="2"/>
  <c r="J64" i="2"/>
  <c r="I64" i="2"/>
  <c r="H64" i="2"/>
  <c r="G64" i="2"/>
  <c r="F64" i="2"/>
  <c r="E64" i="2"/>
  <c r="D64" i="2"/>
  <c r="K915" i="2"/>
  <c r="J915" i="2"/>
  <c r="I915" i="2"/>
  <c r="H915" i="2"/>
  <c r="G915" i="2"/>
  <c r="F915" i="2"/>
  <c r="E915" i="2"/>
  <c r="D915" i="2"/>
  <c r="K824" i="2"/>
  <c r="J824" i="2"/>
  <c r="I824" i="2"/>
  <c r="H824" i="2"/>
  <c r="G824" i="2"/>
  <c r="F824" i="2"/>
  <c r="E824" i="2"/>
  <c r="D824" i="2"/>
  <c r="K60" i="2"/>
  <c r="J60" i="2"/>
  <c r="I60" i="2"/>
  <c r="H60" i="2"/>
  <c r="G60" i="2"/>
  <c r="F60" i="2"/>
  <c r="E60" i="2"/>
  <c r="D60" i="2"/>
  <c r="K866" i="2"/>
  <c r="J866" i="2"/>
  <c r="I866" i="2"/>
  <c r="H866" i="2"/>
  <c r="G866" i="2"/>
  <c r="F866" i="2"/>
  <c r="E866" i="2"/>
  <c r="D866" i="2"/>
  <c r="K668" i="2"/>
  <c r="J668" i="2"/>
  <c r="I668" i="2"/>
  <c r="H668" i="2"/>
  <c r="G668" i="2"/>
  <c r="F668" i="2"/>
  <c r="E668" i="2"/>
  <c r="D668" i="2"/>
  <c r="K420" i="2"/>
  <c r="J420" i="2"/>
  <c r="I420" i="2"/>
  <c r="H420" i="2"/>
  <c r="G420" i="2"/>
  <c r="F420" i="2"/>
  <c r="E420" i="2"/>
  <c r="D420" i="2"/>
  <c r="K546" i="2"/>
  <c r="J546" i="2"/>
  <c r="I546" i="2"/>
  <c r="H546" i="2"/>
  <c r="G546" i="2"/>
  <c r="F546" i="2"/>
  <c r="E546" i="2"/>
  <c r="D546" i="2"/>
  <c r="K153" i="2"/>
  <c r="J153" i="2"/>
  <c r="I153" i="2"/>
  <c r="H153" i="2"/>
  <c r="G153" i="2"/>
  <c r="F153" i="2"/>
  <c r="E153" i="2"/>
  <c r="D153" i="2"/>
  <c r="K666" i="2"/>
  <c r="J666" i="2"/>
  <c r="I666" i="2"/>
  <c r="H666" i="2"/>
  <c r="G666" i="2"/>
  <c r="F666" i="2"/>
  <c r="E666" i="2"/>
  <c r="D666" i="2"/>
  <c r="K589" i="2"/>
  <c r="J589" i="2"/>
  <c r="I589" i="2"/>
  <c r="H589" i="2"/>
  <c r="G589" i="2"/>
  <c r="F589" i="2"/>
  <c r="E589" i="2"/>
  <c r="D589" i="2"/>
  <c r="K574" i="2"/>
  <c r="J574" i="2"/>
  <c r="I574" i="2"/>
  <c r="H574" i="2"/>
  <c r="G574" i="2"/>
  <c r="F574" i="2"/>
  <c r="E574" i="2"/>
  <c r="D574" i="2"/>
  <c r="K394" i="2"/>
  <c r="J394" i="2"/>
  <c r="I394" i="2"/>
  <c r="H394" i="2"/>
  <c r="G394" i="2"/>
  <c r="F394" i="2"/>
  <c r="E394" i="2"/>
  <c r="D394" i="2"/>
  <c r="K368" i="2"/>
  <c r="J368" i="2"/>
  <c r="I368" i="2"/>
  <c r="H368" i="2"/>
  <c r="G368" i="2"/>
  <c r="F368" i="2"/>
  <c r="E368" i="2"/>
  <c r="D368" i="2"/>
  <c r="K336" i="2"/>
  <c r="J336" i="2"/>
  <c r="I336" i="2"/>
  <c r="H336" i="2"/>
  <c r="G336" i="2"/>
  <c r="F336" i="2"/>
  <c r="E336" i="2"/>
  <c r="D336" i="2"/>
  <c r="K118" i="2"/>
  <c r="J118" i="2"/>
  <c r="I118" i="2"/>
  <c r="H118" i="2"/>
  <c r="G118" i="2"/>
  <c r="F118" i="2"/>
  <c r="E118" i="2"/>
  <c r="D118" i="2"/>
  <c r="K832" i="2"/>
  <c r="J832" i="2"/>
  <c r="I832" i="2"/>
  <c r="H832" i="2"/>
  <c r="G832" i="2"/>
  <c r="F832" i="2"/>
  <c r="E832" i="2"/>
  <c r="D832" i="2"/>
  <c r="K655" i="2"/>
  <c r="J655" i="2"/>
  <c r="I655" i="2"/>
  <c r="H655" i="2"/>
  <c r="G655" i="2"/>
  <c r="F655" i="2"/>
  <c r="E655" i="2"/>
  <c r="D655" i="2"/>
  <c r="K587" i="2"/>
  <c r="J587" i="2"/>
  <c r="I587" i="2"/>
  <c r="H587" i="2"/>
  <c r="G587" i="2"/>
  <c r="F587" i="2"/>
  <c r="E587" i="2"/>
  <c r="D587" i="2"/>
  <c r="K219" i="2"/>
  <c r="J219" i="2"/>
  <c r="I219" i="2"/>
  <c r="H219" i="2"/>
  <c r="G219" i="2"/>
  <c r="F219" i="2"/>
  <c r="E219" i="2"/>
  <c r="D219" i="2"/>
  <c r="K198" i="2"/>
  <c r="J198" i="2"/>
  <c r="I198" i="2"/>
  <c r="H198" i="2"/>
  <c r="G198" i="2"/>
  <c r="F198" i="2"/>
  <c r="E198" i="2"/>
  <c r="D198" i="2"/>
  <c r="K190" i="2"/>
  <c r="J190" i="2"/>
  <c r="I190" i="2"/>
  <c r="H190" i="2"/>
  <c r="G190" i="2"/>
  <c r="F190" i="2"/>
  <c r="E190" i="2"/>
  <c r="D190" i="2"/>
  <c r="K632" i="2"/>
  <c r="J632" i="2"/>
  <c r="I632" i="2"/>
  <c r="H632" i="2"/>
  <c r="G632" i="2"/>
  <c r="F632" i="2"/>
  <c r="E632" i="2"/>
  <c r="D632" i="2"/>
  <c r="K171" i="2"/>
  <c r="J171" i="2"/>
  <c r="I171" i="2"/>
  <c r="H171" i="2"/>
  <c r="G171" i="2"/>
  <c r="F171" i="2"/>
  <c r="E171" i="2"/>
  <c r="D171" i="2"/>
  <c r="K123" i="2"/>
  <c r="J123" i="2"/>
  <c r="I123" i="2"/>
  <c r="H123" i="2"/>
  <c r="G123" i="2"/>
  <c r="F123" i="2"/>
  <c r="E123" i="2"/>
  <c r="D123" i="2"/>
  <c r="K28" i="2"/>
  <c r="J28" i="2"/>
  <c r="I28" i="2"/>
  <c r="H28" i="2"/>
  <c r="G28" i="2"/>
  <c r="F28" i="2"/>
  <c r="E28" i="2"/>
  <c r="D28" i="2"/>
  <c r="K788" i="2"/>
  <c r="J788" i="2"/>
  <c r="I788" i="2"/>
  <c r="H788" i="2"/>
  <c r="G788" i="2"/>
  <c r="F788" i="2"/>
  <c r="E788" i="2"/>
  <c r="D788" i="2"/>
  <c r="K502" i="2"/>
  <c r="J502" i="2"/>
  <c r="I502" i="2"/>
  <c r="H502" i="2"/>
  <c r="G502" i="2"/>
  <c r="F502" i="2"/>
  <c r="E502" i="2"/>
  <c r="D502" i="2"/>
  <c r="K179" i="2"/>
  <c r="J179" i="2"/>
  <c r="I179" i="2"/>
  <c r="H179" i="2"/>
  <c r="G179" i="2"/>
  <c r="F179" i="2"/>
  <c r="E179" i="2"/>
  <c r="D179" i="2"/>
  <c r="K850" i="2"/>
  <c r="J850" i="2"/>
  <c r="I850" i="2"/>
  <c r="H850" i="2"/>
  <c r="G850" i="2"/>
  <c r="F850" i="2"/>
  <c r="E850" i="2"/>
  <c r="D850" i="2"/>
  <c r="K380" i="2"/>
  <c r="J380" i="2"/>
  <c r="I380" i="2"/>
  <c r="H380" i="2"/>
  <c r="G380" i="2"/>
  <c r="F380" i="2"/>
  <c r="E380" i="2"/>
  <c r="D380" i="2"/>
  <c r="K86" i="2"/>
  <c r="J86" i="2"/>
  <c r="I86" i="2"/>
  <c r="H86" i="2"/>
  <c r="G86" i="2"/>
  <c r="F86" i="2"/>
  <c r="E86" i="2"/>
  <c r="D86" i="2"/>
  <c r="K838" i="2"/>
  <c r="J838" i="2"/>
  <c r="I838" i="2"/>
  <c r="H838" i="2"/>
  <c r="G838" i="2"/>
  <c r="F838" i="2"/>
  <c r="E838" i="2"/>
  <c r="D838" i="2"/>
  <c r="K361" i="2"/>
  <c r="J361" i="2"/>
  <c r="I361" i="2"/>
  <c r="H361" i="2"/>
  <c r="G361" i="2"/>
  <c r="F361" i="2"/>
  <c r="E361" i="2"/>
  <c r="D361" i="2"/>
  <c r="K151" i="2"/>
  <c r="J151" i="2"/>
  <c r="I151" i="2"/>
  <c r="H151" i="2"/>
  <c r="G151" i="2"/>
  <c r="F151" i="2"/>
  <c r="E151" i="2"/>
  <c r="D151" i="2"/>
  <c r="K9" i="2"/>
  <c r="J9" i="2"/>
  <c r="I9" i="2"/>
  <c r="H9" i="2"/>
  <c r="G9" i="2"/>
  <c r="F9" i="2"/>
  <c r="E9" i="2"/>
  <c r="D9" i="2"/>
  <c r="K415" i="2"/>
  <c r="J415" i="2"/>
  <c r="I415" i="2"/>
  <c r="H415" i="2"/>
  <c r="G415" i="2"/>
  <c r="F415" i="2"/>
  <c r="E415" i="2"/>
  <c r="D415" i="2"/>
  <c r="K189" i="2"/>
  <c r="J189" i="2"/>
  <c r="I189" i="2"/>
  <c r="H189" i="2"/>
  <c r="G189" i="2"/>
  <c r="F189" i="2"/>
  <c r="E189" i="2"/>
  <c r="D189" i="2"/>
  <c r="K186" i="2"/>
  <c r="J186" i="2"/>
  <c r="I186" i="2"/>
  <c r="H186" i="2"/>
  <c r="G186" i="2"/>
  <c r="F186" i="2"/>
  <c r="E186" i="2"/>
  <c r="D186" i="2"/>
  <c r="K876" i="2"/>
  <c r="J876" i="2"/>
  <c r="I876" i="2"/>
  <c r="H876" i="2"/>
  <c r="G876" i="2"/>
  <c r="F876" i="2"/>
  <c r="E876" i="2"/>
  <c r="D876" i="2"/>
  <c r="K732" i="2"/>
  <c r="J732" i="2"/>
  <c r="I732" i="2"/>
  <c r="H732" i="2"/>
  <c r="G732" i="2"/>
  <c r="F732" i="2"/>
  <c r="E732" i="2"/>
  <c r="D732" i="2"/>
  <c r="K718" i="2"/>
  <c r="J718" i="2"/>
  <c r="I718" i="2"/>
  <c r="H718" i="2"/>
  <c r="G718" i="2"/>
  <c r="F718" i="2"/>
  <c r="E718" i="2"/>
  <c r="D718" i="2"/>
  <c r="K641" i="2"/>
  <c r="J641" i="2"/>
  <c r="I641" i="2"/>
  <c r="H641" i="2"/>
  <c r="G641" i="2"/>
  <c r="F641" i="2"/>
  <c r="E641" i="2"/>
  <c r="D641" i="2"/>
  <c r="K463" i="2"/>
  <c r="J463" i="2"/>
  <c r="I463" i="2"/>
  <c r="H463" i="2"/>
  <c r="G463" i="2"/>
  <c r="F463" i="2"/>
  <c r="E463" i="2"/>
  <c r="D463" i="2"/>
  <c r="K656" i="2"/>
  <c r="J656" i="2"/>
  <c r="I656" i="2"/>
  <c r="H656" i="2"/>
  <c r="G656" i="2"/>
  <c r="F656" i="2"/>
  <c r="E656" i="2"/>
  <c r="D656" i="2"/>
  <c r="K825" i="2"/>
  <c r="J825" i="2"/>
  <c r="I825" i="2"/>
  <c r="H825" i="2"/>
  <c r="G825" i="2"/>
  <c r="F825" i="2"/>
  <c r="E825" i="2"/>
  <c r="D825" i="2"/>
  <c r="K790" i="2"/>
  <c r="J790" i="2"/>
  <c r="I790" i="2"/>
  <c r="H790" i="2"/>
  <c r="G790" i="2"/>
  <c r="F790" i="2"/>
  <c r="E790" i="2"/>
  <c r="D790" i="2"/>
  <c r="K94" i="2"/>
  <c r="J94" i="2"/>
  <c r="I94" i="2"/>
  <c r="H94" i="2"/>
  <c r="G94" i="2"/>
  <c r="F94" i="2"/>
  <c r="E94" i="2"/>
  <c r="D94" i="2"/>
  <c r="K75" i="2"/>
  <c r="J75" i="2"/>
  <c r="I75" i="2"/>
  <c r="H75" i="2"/>
  <c r="G75" i="2"/>
  <c r="F75" i="2"/>
  <c r="E75" i="2"/>
  <c r="D75" i="2"/>
  <c r="K52" i="2"/>
  <c r="J52" i="2"/>
  <c r="I52" i="2"/>
  <c r="H52" i="2"/>
  <c r="G52" i="2"/>
  <c r="F52" i="2"/>
  <c r="E52" i="2"/>
  <c r="D52" i="2"/>
  <c r="K36" i="2"/>
  <c r="J36" i="2"/>
  <c r="I36" i="2"/>
  <c r="H36" i="2"/>
  <c r="G36" i="2"/>
  <c r="F36" i="2"/>
  <c r="E36" i="2"/>
  <c r="D36" i="2"/>
  <c r="K10" i="2"/>
  <c r="J10" i="2"/>
  <c r="I10" i="2"/>
  <c r="H10" i="2"/>
  <c r="G10" i="2"/>
  <c r="F10" i="2"/>
  <c r="E10" i="2"/>
  <c r="D10" i="2"/>
  <c r="K557" i="2"/>
  <c r="J557" i="2"/>
  <c r="I557" i="2"/>
  <c r="H557" i="2"/>
  <c r="G557" i="2"/>
  <c r="F557" i="2"/>
  <c r="E557" i="2"/>
  <c r="D557" i="2"/>
  <c r="K326" i="2"/>
  <c r="J326" i="2"/>
  <c r="I326" i="2"/>
  <c r="H326" i="2"/>
  <c r="G326" i="2"/>
  <c r="F326" i="2"/>
  <c r="E326" i="2"/>
  <c r="D326" i="2"/>
  <c r="K99" i="2"/>
  <c r="J99" i="2"/>
  <c r="I99" i="2"/>
  <c r="H99" i="2"/>
  <c r="G99" i="2"/>
  <c r="F99" i="2"/>
  <c r="E99" i="2"/>
  <c r="D99" i="2"/>
  <c r="K79" i="2"/>
  <c r="J79" i="2"/>
  <c r="I79" i="2"/>
  <c r="H79" i="2"/>
  <c r="G79" i="2"/>
  <c r="F79" i="2"/>
  <c r="E79" i="2"/>
  <c r="D79" i="2"/>
  <c r="K389" i="2"/>
  <c r="J389" i="2"/>
  <c r="I389" i="2"/>
  <c r="H389" i="2"/>
  <c r="G389" i="2"/>
  <c r="F389" i="2"/>
  <c r="E389" i="2"/>
  <c r="D389" i="2"/>
  <c r="K384" i="2"/>
  <c r="J384" i="2"/>
  <c r="I384" i="2"/>
  <c r="H384" i="2"/>
  <c r="G384" i="2"/>
  <c r="F384" i="2"/>
  <c r="E384" i="2"/>
  <c r="D384" i="2"/>
  <c r="K134" i="2"/>
  <c r="J134" i="2"/>
  <c r="I134" i="2"/>
  <c r="H134" i="2"/>
  <c r="G134" i="2"/>
  <c r="F134" i="2"/>
  <c r="E134" i="2"/>
  <c r="D134" i="2"/>
  <c r="K67" i="2"/>
  <c r="J67" i="2"/>
  <c r="I67" i="2"/>
  <c r="H67" i="2"/>
  <c r="G67" i="2"/>
  <c r="F67" i="2"/>
  <c r="E67" i="2"/>
  <c r="D67" i="2"/>
  <c r="K626" i="2"/>
  <c r="J626" i="2"/>
  <c r="I626" i="2"/>
  <c r="H626" i="2"/>
  <c r="G626" i="2"/>
  <c r="F626" i="2"/>
  <c r="E626" i="2"/>
  <c r="D626" i="2"/>
  <c r="K507" i="2"/>
  <c r="J507" i="2"/>
  <c r="I507" i="2"/>
  <c r="H507" i="2"/>
  <c r="G507" i="2"/>
  <c r="F507" i="2"/>
  <c r="E507" i="2"/>
  <c r="D507" i="2"/>
  <c r="K424" i="2"/>
  <c r="J424" i="2"/>
  <c r="I424" i="2"/>
  <c r="H424" i="2"/>
  <c r="G424" i="2"/>
  <c r="F424" i="2"/>
  <c r="E424" i="2"/>
  <c r="D424" i="2"/>
  <c r="K348" i="2"/>
  <c r="J348" i="2"/>
  <c r="I348" i="2"/>
  <c r="H348" i="2"/>
  <c r="G348" i="2"/>
  <c r="F348" i="2"/>
  <c r="E348" i="2"/>
  <c r="D348" i="2"/>
  <c r="K149" i="2"/>
  <c r="J149" i="2"/>
  <c r="I149" i="2"/>
  <c r="H149" i="2"/>
  <c r="G149" i="2"/>
  <c r="F149" i="2"/>
  <c r="E149" i="2"/>
  <c r="D149" i="2"/>
  <c r="K12" i="2"/>
  <c r="J12" i="2"/>
  <c r="I12" i="2"/>
  <c r="H12" i="2"/>
  <c r="G12" i="2"/>
  <c r="F12" i="2"/>
  <c r="E12" i="2"/>
  <c r="D12" i="2"/>
  <c r="K392" i="2"/>
  <c r="J392" i="2"/>
  <c r="I392" i="2"/>
  <c r="H392" i="2"/>
  <c r="G392" i="2"/>
  <c r="F392" i="2"/>
  <c r="E392" i="2"/>
  <c r="D392" i="2"/>
  <c r="K90" i="2"/>
  <c r="J90" i="2"/>
  <c r="I90" i="2"/>
  <c r="H90" i="2"/>
  <c r="G90" i="2"/>
  <c r="F90" i="2"/>
  <c r="E90" i="2"/>
  <c r="D90" i="2"/>
  <c r="K731" i="2"/>
  <c r="J731" i="2"/>
  <c r="I731" i="2"/>
  <c r="H731" i="2"/>
  <c r="G731" i="2"/>
  <c r="F731" i="2"/>
  <c r="E731" i="2"/>
  <c r="D731" i="2"/>
  <c r="K315" i="2"/>
  <c r="J315" i="2"/>
  <c r="I315" i="2"/>
  <c r="H315" i="2"/>
  <c r="G315" i="2"/>
  <c r="F315" i="2"/>
  <c r="E315" i="2"/>
  <c r="D315" i="2"/>
  <c r="K552" i="2"/>
  <c r="J552" i="2"/>
  <c r="I552" i="2"/>
  <c r="H552" i="2"/>
  <c r="G552" i="2"/>
  <c r="F552" i="2"/>
  <c r="E552" i="2"/>
  <c r="D552" i="2"/>
  <c r="K133" i="2"/>
  <c r="J133" i="2"/>
  <c r="I133" i="2"/>
  <c r="H133" i="2"/>
  <c r="G133" i="2"/>
  <c r="F133" i="2"/>
  <c r="E133" i="2"/>
  <c r="D133" i="2"/>
  <c r="K82" i="2"/>
  <c r="J82" i="2"/>
  <c r="I82" i="2"/>
  <c r="H82" i="2"/>
  <c r="G82" i="2"/>
  <c r="F82" i="2"/>
  <c r="E82" i="2"/>
  <c r="D82" i="2"/>
  <c r="K62" i="2"/>
  <c r="J62" i="2"/>
  <c r="I62" i="2"/>
  <c r="H62" i="2"/>
  <c r="G62" i="2"/>
  <c r="F62" i="2"/>
  <c r="E62" i="2"/>
  <c r="D62" i="2"/>
  <c r="K737" i="2"/>
  <c r="J737" i="2"/>
  <c r="I737" i="2"/>
  <c r="H737" i="2"/>
  <c r="G737" i="2"/>
  <c r="F737" i="2"/>
  <c r="E737" i="2"/>
  <c r="D737" i="2"/>
  <c r="K457" i="2"/>
  <c r="J457" i="2"/>
  <c r="I457" i="2"/>
  <c r="H457" i="2"/>
  <c r="G457" i="2"/>
  <c r="F457" i="2"/>
  <c r="E457" i="2"/>
  <c r="D457" i="2"/>
  <c r="K386" i="2"/>
  <c r="J386" i="2"/>
  <c r="I386" i="2"/>
  <c r="H386" i="2"/>
  <c r="G386" i="2"/>
  <c r="F386" i="2"/>
  <c r="E386" i="2"/>
  <c r="D386" i="2"/>
  <c r="K222" i="2"/>
  <c r="J222" i="2"/>
  <c r="I222" i="2"/>
  <c r="H222" i="2"/>
  <c r="G222" i="2"/>
  <c r="F222" i="2"/>
  <c r="E222" i="2"/>
  <c r="D222" i="2"/>
  <c r="K56" i="2"/>
  <c r="J56" i="2"/>
  <c r="I56" i="2"/>
  <c r="H56" i="2"/>
  <c r="G56" i="2"/>
  <c r="F56" i="2"/>
  <c r="E56" i="2"/>
  <c r="D56" i="2"/>
  <c r="K738" i="2"/>
  <c r="J738" i="2"/>
  <c r="I738" i="2"/>
  <c r="H738" i="2"/>
  <c r="G738" i="2"/>
  <c r="F738" i="2"/>
  <c r="E738" i="2"/>
  <c r="D738" i="2"/>
  <c r="K421" i="2"/>
  <c r="J421" i="2"/>
  <c r="I421" i="2"/>
  <c r="H421" i="2"/>
  <c r="K782" i="2"/>
  <c r="J782" i="2"/>
  <c r="I782" i="2"/>
  <c r="H782" i="2"/>
  <c r="G782" i="2"/>
  <c r="F782" i="2"/>
  <c r="E782" i="2"/>
  <c r="D782" i="2"/>
  <c r="K938" i="2"/>
  <c r="J938" i="2"/>
  <c r="I938" i="2"/>
  <c r="H938" i="2"/>
  <c r="G938" i="2"/>
  <c r="F938" i="2"/>
  <c r="E938" i="2"/>
  <c r="D938" i="2"/>
  <c r="K919" i="2"/>
  <c r="J919" i="2"/>
  <c r="I919" i="2"/>
  <c r="H919" i="2"/>
  <c r="G919" i="2"/>
  <c r="F919" i="2"/>
  <c r="E919" i="2"/>
  <c r="D919" i="2"/>
  <c r="K818" i="2"/>
  <c r="J818" i="2"/>
  <c r="I818" i="2"/>
  <c r="H818" i="2"/>
  <c r="G818" i="2"/>
  <c r="F818" i="2"/>
  <c r="E818" i="2"/>
  <c r="D818" i="2"/>
  <c r="K654" i="2"/>
  <c r="J654" i="2"/>
  <c r="I654" i="2"/>
  <c r="H654" i="2"/>
  <c r="G654" i="2"/>
  <c r="F654" i="2"/>
  <c r="E654" i="2"/>
  <c r="D654" i="2"/>
  <c r="K617" i="2"/>
  <c r="J617" i="2"/>
  <c r="I617" i="2"/>
  <c r="H617" i="2"/>
  <c r="G617" i="2"/>
  <c r="F617" i="2"/>
  <c r="E617" i="2"/>
  <c r="D617" i="2"/>
  <c r="K562" i="2"/>
  <c r="J562" i="2"/>
  <c r="I562" i="2"/>
  <c r="H562" i="2"/>
  <c r="G562" i="2"/>
  <c r="F562" i="2"/>
  <c r="E562" i="2"/>
  <c r="D562" i="2"/>
  <c r="K559" i="2"/>
  <c r="J559" i="2"/>
  <c r="I559" i="2"/>
  <c r="H559" i="2"/>
  <c r="G559" i="2"/>
  <c r="F559" i="2"/>
  <c r="E559" i="2"/>
  <c r="D559" i="2"/>
  <c r="K517" i="2"/>
  <c r="J517" i="2"/>
  <c r="I517" i="2"/>
  <c r="H517" i="2"/>
  <c r="G517" i="2"/>
  <c r="F517" i="2"/>
  <c r="E517" i="2"/>
  <c r="D517" i="2"/>
  <c r="K842" i="2"/>
  <c r="J842" i="2"/>
  <c r="I842" i="2"/>
  <c r="H842" i="2"/>
  <c r="G842" i="2"/>
  <c r="F842" i="2"/>
  <c r="E842" i="2"/>
  <c r="D842" i="2"/>
  <c r="K511" i="2"/>
  <c r="J511" i="2"/>
  <c r="I511" i="2"/>
  <c r="H511" i="2"/>
  <c r="G511" i="2"/>
  <c r="F511" i="2"/>
  <c r="E511" i="2"/>
  <c r="D511" i="2"/>
  <c r="K476" i="2"/>
  <c r="J476" i="2"/>
  <c r="I476" i="2"/>
  <c r="H476" i="2"/>
  <c r="G476" i="2"/>
  <c r="F476" i="2"/>
  <c r="E476" i="2"/>
  <c r="D476" i="2"/>
  <c r="K933" i="2"/>
  <c r="J933" i="2"/>
  <c r="I933" i="2"/>
  <c r="H933" i="2"/>
  <c r="G933" i="2"/>
  <c r="F933" i="2"/>
  <c r="E933" i="2"/>
  <c r="D933" i="2"/>
  <c r="K652" i="2"/>
  <c r="J652" i="2"/>
  <c r="I652" i="2"/>
  <c r="H652" i="2"/>
  <c r="G652" i="2"/>
  <c r="F652" i="2"/>
  <c r="E652" i="2"/>
  <c r="D652" i="2"/>
  <c r="K704" i="2"/>
  <c r="J704" i="2"/>
  <c r="I704" i="2"/>
  <c r="H704" i="2"/>
  <c r="G704" i="2"/>
  <c r="F704" i="2"/>
  <c r="E704" i="2"/>
  <c r="D704" i="2"/>
  <c r="K653" i="2"/>
  <c r="J653" i="2"/>
  <c r="I653" i="2"/>
  <c r="H653" i="2"/>
  <c r="G653" i="2"/>
  <c r="F653" i="2"/>
  <c r="E653" i="2"/>
  <c r="D653" i="2"/>
  <c r="K440" i="2"/>
  <c r="J440" i="2"/>
  <c r="I440" i="2"/>
  <c r="H440" i="2"/>
  <c r="G440" i="2"/>
  <c r="F440" i="2"/>
  <c r="E440" i="2"/>
  <c r="D440" i="2"/>
  <c r="K375" i="2"/>
  <c r="J375" i="2"/>
  <c r="I375" i="2"/>
  <c r="H375" i="2"/>
  <c r="G375" i="2"/>
  <c r="F375" i="2"/>
  <c r="E375" i="2"/>
  <c r="D375" i="2"/>
  <c r="K781" i="2"/>
  <c r="J781" i="2"/>
  <c r="I781" i="2"/>
  <c r="H781" i="2"/>
  <c r="G781" i="2"/>
  <c r="F781" i="2"/>
  <c r="E781" i="2"/>
  <c r="D781" i="2"/>
  <c r="K282" i="2"/>
  <c r="J282" i="2"/>
  <c r="I282" i="2"/>
  <c r="H282" i="2"/>
  <c r="G282" i="2"/>
  <c r="F282" i="2"/>
  <c r="E282" i="2"/>
  <c r="D282" i="2"/>
  <c r="K241" i="2"/>
  <c r="J241" i="2"/>
  <c r="I241" i="2"/>
  <c r="H241" i="2"/>
  <c r="G241" i="2"/>
  <c r="F241" i="2"/>
  <c r="E241" i="2"/>
  <c r="D241" i="2"/>
  <c r="K897" i="2"/>
  <c r="J897" i="2"/>
  <c r="I897" i="2"/>
  <c r="H897" i="2"/>
  <c r="G897" i="2"/>
  <c r="F897" i="2"/>
  <c r="E897" i="2"/>
  <c r="D897" i="2"/>
  <c r="K760" i="2"/>
  <c r="J760" i="2"/>
  <c r="I760" i="2"/>
  <c r="H760" i="2"/>
  <c r="G760" i="2"/>
  <c r="F760" i="2"/>
  <c r="E760" i="2"/>
  <c r="D760" i="2"/>
  <c r="K715" i="2"/>
  <c r="J715" i="2"/>
  <c r="I715" i="2"/>
  <c r="H715" i="2"/>
  <c r="G715" i="2"/>
  <c r="F715" i="2"/>
  <c r="E715" i="2"/>
  <c r="D715" i="2"/>
  <c r="K533" i="2"/>
  <c r="J533" i="2"/>
  <c r="I533" i="2"/>
  <c r="H533" i="2"/>
  <c r="G533" i="2"/>
  <c r="F533" i="2"/>
  <c r="E533" i="2"/>
  <c r="D533" i="2"/>
  <c r="K238" i="2"/>
  <c r="J238" i="2"/>
  <c r="I238" i="2"/>
  <c r="H238" i="2"/>
  <c r="G238" i="2"/>
  <c r="F238" i="2"/>
  <c r="E238" i="2"/>
  <c r="D238" i="2"/>
  <c r="K573" i="2"/>
  <c r="J573" i="2"/>
  <c r="I573" i="2"/>
  <c r="H573" i="2"/>
  <c r="G573" i="2"/>
  <c r="F573" i="2"/>
  <c r="E573" i="2"/>
  <c r="D573" i="2"/>
  <c r="K101" i="2"/>
  <c r="J101" i="2"/>
  <c r="I101" i="2"/>
  <c r="H101" i="2"/>
  <c r="G101" i="2"/>
  <c r="F101" i="2"/>
  <c r="E101" i="2"/>
  <c r="D101" i="2"/>
  <c r="K841" i="2"/>
  <c r="J841" i="2"/>
  <c r="I841" i="2"/>
  <c r="H841" i="2"/>
  <c r="G841" i="2"/>
  <c r="F841" i="2"/>
  <c r="E841" i="2"/>
  <c r="D841" i="2"/>
  <c r="K614" i="2"/>
  <c r="J614" i="2"/>
  <c r="I614" i="2"/>
  <c r="H614" i="2"/>
  <c r="G614" i="2"/>
  <c r="F614" i="2"/>
  <c r="E614" i="2"/>
  <c r="D614" i="2"/>
  <c r="K477" i="2"/>
  <c r="J477" i="2"/>
  <c r="I477" i="2"/>
  <c r="H477" i="2"/>
  <c r="G477" i="2"/>
  <c r="F477" i="2"/>
  <c r="E477" i="2"/>
  <c r="D477" i="2"/>
  <c r="K433" i="2"/>
  <c r="J433" i="2"/>
  <c r="I433" i="2"/>
  <c r="H433" i="2"/>
  <c r="G433" i="2"/>
  <c r="F433" i="2"/>
  <c r="E433" i="2"/>
  <c r="D433" i="2"/>
  <c r="K382" i="2"/>
  <c r="J382" i="2"/>
  <c r="I382" i="2"/>
  <c r="H382" i="2"/>
  <c r="G382" i="2"/>
  <c r="F382" i="2"/>
  <c r="E382" i="2"/>
  <c r="D382" i="2"/>
  <c r="K70" i="2"/>
  <c r="J70" i="2"/>
  <c r="I70" i="2"/>
  <c r="H70" i="2"/>
  <c r="G70" i="2"/>
  <c r="F70" i="2"/>
  <c r="E70" i="2"/>
  <c r="D70" i="2"/>
  <c r="K68" i="2"/>
  <c r="J68" i="2"/>
  <c r="I68" i="2"/>
  <c r="H68" i="2"/>
  <c r="G68" i="2"/>
  <c r="F68" i="2"/>
  <c r="E68" i="2"/>
  <c r="D68" i="2"/>
  <c r="K831" i="2"/>
  <c r="J831" i="2"/>
  <c r="I831" i="2"/>
  <c r="H831" i="2"/>
  <c r="G831" i="2"/>
  <c r="F831" i="2"/>
  <c r="E831" i="2"/>
  <c r="D831" i="2"/>
  <c r="K659" i="2"/>
  <c r="J659" i="2"/>
  <c r="I659" i="2"/>
  <c r="H659" i="2"/>
  <c r="G659" i="2"/>
  <c r="F659" i="2"/>
  <c r="E659" i="2"/>
  <c r="D659" i="2"/>
  <c r="K419" i="2"/>
  <c r="J419" i="2"/>
  <c r="I419" i="2"/>
  <c r="H419" i="2"/>
  <c r="G419" i="2"/>
  <c r="F419" i="2"/>
  <c r="E419" i="2"/>
  <c r="D419" i="2"/>
  <c r="K248" i="2"/>
  <c r="J248" i="2"/>
  <c r="I248" i="2"/>
  <c r="H248" i="2"/>
  <c r="G248" i="2"/>
  <c r="F248" i="2"/>
  <c r="E248" i="2"/>
  <c r="D248" i="2"/>
  <c r="K347" i="2"/>
  <c r="J347" i="2"/>
  <c r="I347" i="2"/>
  <c r="H347" i="2"/>
  <c r="G347" i="2"/>
  <c r="F347" i="2"/>
  <c r="E347" i="2"/>
  <c r="D347" i="2"/>
  <c r="K37" i="2"/>
  <c r="J37" i="2"/>
  <c r="I37" i="2"/>
  <c r="H37" i="2"/>
  <c r="G37" i="2"/>
  <c r="F37" i="2"/>
  <c r="E37" i="2"/>
  <c r="D37" i="2"/>
  <c r="K888" i="2"/>
  <c r="J888" i="2"/>
  <c r="I888" i="2"/>
  <c r="H888" i="2"/>
  <c r="G888" i="2"/>
  <c r="F888" i="2"/>
  <c r="E888" i="2"/>
  <c r="D888" i="2"/>
  <c r="K473" i="2"/>
  <c r="J473" i="2"/>
  <c r="I473" i="2"/>
  <c r="H473" i="2"/>
  <c r="G473" i="2"/>
  <c r="F473" i="2"/>
  <c r="E473" i="2"/>
  <c r="D473" i="2"/>
  <c r="K184" i="2"/>
  <c r="J184" i="2"/>
  <c r="I184" i="2"/>
  <c r="H184" i="2"/>
  <c r="G184" i="2"/>
  <c r="F184" i="2"/>
  <c r="E184" i="2"/>
  <c r="D184" i="2"/>
  <c r="K772" i="2"/>
  <c r="J772" i="2"/>
  <c r="I772" i="2"/>
  <c r="H772" i="2"/>
  <c r="G772" i="2"/>
  <c r="F772" i="2"/>
  <c r="E772" i="2"/>
  <c r="D772" i="2"/>
  <c r="K756" i="2"/>
  <c r="J756" i="2"/>
  <c r="I756" i="2"/>
  <c r="H756" i="2"/>
  <c r="G756" i="2"/>
  <c r="F756" i="2"/>
  <c r="E756" i="2"/>
  <c r="D756" i="2"/>
  <c r="K462" i="2"/>
  <c r="J462" i="2"/>
  <c r="I462" i="2"/>
  <c r="H462" i="2"/>
  <c r="G462" i="2"/>
  <c r="F462" i="2"/>
  <c r="E462" i="2"/>
  <c r="D462" i="2"/>
  <c r="K887" i="2"/>
  <c r="J887" i="2"/>
  <c r="I887" i="2"/>
  <c r="H887" i="2"/>
  <c r="G887" i="2"/>
  <c r="F887" i="2"/>
  <c r="E887" i="2"/>
  <c r="D887" i="2"/>
  <c r="K783" i="2"/>
  <c r="J783" i="2"/>
  <c r="I783" i="2"/>
  <c r="H783" i="2"/>
  <c r="G783" i="2"/>
  <c r="F783" i="2"/>
  <c r="E783" i="2"/>
  <c r="D783" i="2"/>
  <c r="K699" i="2"/>
  <c r="J699" i="2"/>
  <c r="I699" i="2"/>
  <c r="H699" i="2"/>
  <c r="G699" i="2"/>
  <c r="F699" i="2"/>
  <c r="E699" i="2"/>
  <c r="D699" i="2"/>
  <c r="K199" i="2"/>
  <c r="J199" i="2"/>
  <c r="I199" i="2"/>
  <c r="H199" i="2"/>
  <c r="G199" i="2"/>
  <c r="F199" i="2"/>
  <c r="E199" i="2"/>
  <c r="D199" i="2"/>
  <c r="K676" i="2"/>
  <c r="J676" i="2"/>
  <c r="I676" i="2"/>
  <c r="H676" i="2"/>
  <c r="G676" i="2"/>
  <c r="F676" i="2"/>
  <c r="E676" i="2"/>
  <c r="D676" i="2"/>
  <c r="K657" i="2"/>
  <c r="J657" i="2"/>
  <c r="I657" i="2"/>
  <c r="H657" i="2"/>
  <c r="G657" i="2"/>
  <c r="F657" i="2"/>
  <c r="E657" i="2"/>
  <c r="D657" i="2"/>
  <c r="K289" i="2"/>
  <c r="J289" i="2"/>
  <c r="I289" i="2"/>
  <c r="H289" i="2"/>
  <c r="G289" i="2"/>
  <c r="F289" i="2"/>
  <c r="E289" i="2"/>
  <c r="D289" i="2"/>
  <c r="K275" i="2"/>
  <c r="J275" i="2"/>
  <c r="I275" i="2"/>
  <c r="H275" i="2"/>
  <c r="G275" i="2"/>
  <c r="F275" i="2"/>
  <c r="E275" i="2"/>
  <c r="D275" i="2"/>
  <c r="K208" i="2"/>
  <c r="J208" i="2"/>
  <c r="I208" i="2"/>
  <c r="H208" i="2"/>
  <c r="G208" i="2"/>
  <c r="F208" i="2"/>
  <c r="E208" i="2"/>
  <c r="D208" i="2"/>
  <c r="K205" i="2"/>
  <c r="J205" i="2"/>
  <c r="I205" i="2"/>
  <c r="H205" i="2"/>
  <c r="G205" i="2"/>
  <c r="F205" i="2"/>
  <c r="E205" i="2"/>
  <c r="D205" i="2"/>
  <c r="K18" i="2"/>
  <c r="J18" i="2"/>
  <c r="I18" i="2"/>
  <c r="H18" i="2"/>
  <c r="G18" i="2"/>
  <c r="F18" i="2"/>
  <c r="E18" i="2"/>
  <c r="D18" i="2"/>
  <c r="K779" i="2"/>
  <c r="J779" i="2"/>
  <c r="I779" i="2"/>
  <c r="H779" i="2"/>
  <c r="G779" i="2"/>
  <c r="F779" i="2"/>
  <c r="E779" i="2"/>
  <c r="D779" i="2"/>
  <c r="K747" i="2"/>
  <c r="J747" i="2"/>
  <c r="I747" i="2"/>
  <c r="H747" i="2"/>
  <c r="G747" i="2"/>
  <c r="F747" i="2"/>
  <c r="E747" i="2"/>
  <c r="D747" i="2"/>
  <c r="K598" i="2"/>
  <c r="J598" i="2"/>
  <c r="I598" i="2"/>
  <c r="H598" i="2"/>
  <c r="G598" i="2"/>
  <c r="F598" i="2"/>
  <c r="E598" i="2"/>
  <c r="D598" i="2"/>
  <c r="K324" i="2"/>
  <c r="J324" i="2"/>
  <c r="I324" i="2"/>
  <c r="H324" i="2"/>
  <c r="G324" i="2"/>
  <c r="F324" i="2"/>
  <c r="E324" i="2"/>
  <c r="D324" i="2"/>
  <c r="K258" i="2"/>
  <c r="J258" i="2"/>
  <c r="I258" i="2"/>
  <c r="H258" i="2"/>
  <c r="G258" i="2"/>
  <c r="F258" i="2"/>
  <c r="E258" i="2"/>
  <c r="D258" i="2"/>
  <c r="K174" i="2"/>
  <c r="J174" i="2"/>
  <c r="I174" i="2"/>
  <c r="H174" i="2"/>
  <c r="G174" i="2"/>
  <c r="F174" i="2"/>
  <c r="E174" i="2"/>
  <c r="D174" i="2"/>
  <c r="K764" i="2"/>
  <c r="J764" i="2"/>
  <c r="I764" i="2"/>
  <c r="H764" i="2"/>
  <c r="G764" i="2"/>
  <c r="F764" i="2"/>
  <c r="E764" i="2"/>
  <c r="D764" i="2"/>
  <c r="K701" i="2"/>
  <c r="J701" i="2"/>
  <c r="I701" i="2"/>
  <c r="H701" i="2"/>
  <c r="G701" i="2"/>
  <c r="F701" i="2"/>
  <c r="E701" i="2"/>
  <c r="D701" i="2"/>
  <c r="K413" i="2"/>
  <c r="J413" i="2"/>
  <c r="I413" i="2"/>
  <c r="H413" i="2"/>
  <c r="G413" i="2"/>
  <c r="F413" i="2"/>
  <c r="E413" i="2"/>
  <c r="D413" i="2"/>
  <c r="K194" i="2"/>
  <c r="J194" i="2"/>
  <c r="I194" i="2"/>
  <c r="H194" i="2"/>
  <c r="G194" i="2"/>
  <c r="F194" i="2"/>
  <c r="E194" i="2"/>
  <c r="D194" i="2"/>
  <c r="K40" i="2"/>
  <c r="J40" i="2"/>
  <c r="I40" i="2"/>
  <c r="H40" i="2"/>
  <c r="G40" i="2"/>
  <c r="F40" i="2"/>
  <c r="E40" i="2"/>
  <c r="D40" i="2"/>
  <c r="K909" i="2"/>
  <c r="J909" i="2"/>
  <c r="I909" i="2"/>
  <c r="H909" i="2"/>
  <c r="G909" i="2"/>
  <c r="F909" i="2"/>
  <c r="E909" i="2"/>
  <c r="D909" i="2"/>
  <c r="K899" i="2"/>
  <c r="J899" i="2"/>
  <c r="I899" i="2"/>
  <c r="H899" i="2"/>
  <c r="G899" i="2"/>
  <c r="F899" i="2"/>
  <c r="E899" i="2"/>
  <c r="D899" i="2"/>
  <c r="K722" i="2"/>
  <c r="J722" i="2"/>
  <c r="I722" i="2"/>
  <c r="H722" i="2"/>
  <c r="G722" i="2"/>
  <c r="F722" i="2"/>
  <c r="E722" i="2"/>
  <c r="D722" i="2"/>
  <c r="K584" i="2"/>
  <c r="J584" i="2"/>
  <c r="I584" i="2"/>
  <c r="H584" i="2"/>
  <c r="G584" i="2"/>
  <c r="F584" i="2"/>
  <c r="E584" i="2"/>
  <c r="D584" i="2"/>
  <c r="K491" i="2"/>
  <c r="J491" i="2"/>
  <c r="I491" i="2"/>
  <c r="H491" i="2"/>
  <c r="G491" i="2"/>
  <c r="F491" i="2"/>
  <c r="E491" i="2"/>
  <c r="D491" i="2"/>
  <c r="K316" i="2"/>
  <c r="J316" i="2"/>
  <c r="I316" i="2"/>
  <c r="H316" i="2"/>
  <c r="G316" i="2"/>
  <c r="F316" i="2"/>
  <c r="E316" i="2"/>
  <c r="D316" i="2"/>
  <c r="K257" i="2"/>
  <c r="J257" i="2"/>
  <c r="I257" i="2"/>
  <c r="H257" i="2"/>
  <c r="G257" i="2"/>
  <c r="F257" i="2"/>
  <c r="E257" i="2"/>
  <c r="D257" i="2"/>
  <c r="K73" i="2"/>
  <c r="J73" i="2"/>
  <c r="I73" i="2"/>
  <c r="H73" i="2"/>
  <c r="G73" i="2"/>
  <c r="F73" i="2"/>
  <c r="E73" i="2"/>
  <c r="D73" i="2"/>
  <c r="K446" i="2"/>
  <c r="J446" i="2"/>
  <c r="I446" i="2"/>
  <c r="H446" i="2"/>
  <c r="G446" i="2"/>
  <c r="F446" i="2"/>
  <c r="E446" i="2"/>
  <c r="D446" i="2"/>
  <c r="K936" i="2"/>
  <c r="J936" i="2"/>
  <c r="I936" i="2"/>
  <c r="H936" i="2"/>
  <c r="G936" i="2"/>
  <c r="F936" i="2"/>
  <c r="E936" i="2"/>
  <c r="D936" i="2"/>
  <c r="K664" i="2"/>
  <c r="J664" i="2"/>
  <c r="I664" i="2"/>
  <c r="H664" i="2"/>
  <c r="G664" i="2"/>
  <c r="F664" i="2"/>
  <c r="E664" i="2"/>
  <c r="D664" i="2"/>
  <c r="K521" i="2"/>
  <c r="J521" i="2"/>
  <c r="I521" i="2"/>
  <c r="H521" i="2"/>
  <c r="G521" i="2"/>
  <c r="F521" i="2"/>
  <c r="E521" i="2"/>
  <c r="D521" i="2"/>
  <c r="K405" i="2"/>
  <c r="J405" i="2"/>
  <c r="I405" i="2"/>
  <c r="H405" i="2"/>
  <c r="G405" i="2"/>
  <c r="F405" i="2"/>
  <c r="E405" i="2"/>
  <c r="D405" i="2"/>
  <c r="K784" i="2"/>
  <c r="J784" i="2"/>
  <c r="I784" i="2"/>
  <c r="H784" i="2"/>
  <c r="G784" i="2"/>
  <c r="F784" i="2"/>
  <c r="E784" i="2"/>
  <c r="D784" i="2"/>
  <c r="K566" i="2"/>
  <c r="J566" i="2"/>
  <c r="I566" i="2"/>
  <c r="H566" i="2"/>
  <c r="G566" i="2"/>
  <c r="F566" i="2"/>
  <c r="E566" i="2"/>
  <c r="D566" i="2"/>
  <c r="K253" i="2"/>
  <c r="J253" i="2"/>
  <c r="I253" i="2"/>
  <c r="H253" i="2"/>
  <c r="G253" i="2"/>
  <c r="F253" i="2"/>
  <c r="E253" i="2"/>
  <c r="D253" i="2"/>
  <c r="K158" i="2"/>
  <c r="J158" i="2"/>
  <c r="I158" i="2"/>
  <c r="H158" i="2"/>
  <c r="G158" i="2"/>
  <c r="F158" i="2"/>
  <c r="E158" i="2"/>
  <c r="D158" i="2"/>
  <c r="K156" i="2"/>
  <c r="J156" i="2"/>
  <c r="I156" i="2"/>
  <c r="H156" i="2"/>
  <c r="G156" i="2"/>
  <c r="F156" i="2"/>
  <c r="E156" i="2"/>
  <c r="D156" i="2"/>
  <c r="K124" i="2"/>
  <c r="J124" i="2"/>
  <c r="I124" i="2"/>
  <c r="H124" i="2"/>
  <c r="G124" i="2"/>
  <c r="F124" i="2"/>
  <c r="E124" i="2"/>
  <c r="D124" i="2"/>
  <c r="K343" i="2"/>
  <c r="J343" i="2"/>
  <c r="I343" i="2"/>
  <c r="H343" i="2"/>
  <c r="G343" i="2"/>
  <c r="F343" i="2"/>
  <c r="E343" i="2"/>
  <c r="D343" i="2"/>
  <c r="K509" i="2"/>
  <c r="J509" i="2"/>
  <c r="I509" i="2"/>
  <c r="H509" i="2"/>
  <c r="G509" i="2"/>
  <c r="F509" i="2"/>
  <c r="E509" i="2"/>
  <c r="D509" i="2"/>
  <c r="K390" i="2"/>
  <c r="J390" i="2"/>
  <c r="I390" i="2"/>
  <c r="H390" i="2"/>
  <c r="G390" i="2"/>
  <c r="F390" i="2"/>
  <c r="E390" i="2"/>
  <c r="D390" i="2"/>
  <c r="K309" i="2"/>
  <c r="J309" i="2"/>
  <c r="I309" i="2"/>
  <c r="H309" i="2"/>
  <c r="G309" i="2"/>
  <c r="F309" i="2"/>
  <c r="E309" i="2"/>
  <c r="D309" i="2"/>
  <c r="K192" i="2"/>
  <c r="J192" i="2"/>
  <c r="I192" i="2"/>
  <c r="H192" i="2"/>
  <c r="G192" i="2"/>
  <c r="F192" i="2"/>
  <c r="E192" i="2"/>
  <c r="D192" i="2"/>
  <c r="K914" i="2"/>
  <c r="J914" i="2"/>
  <c r="I914" i="2"/>
  <c r="H914" i="2"/>
  <c r="G914" i="2"/>
  <c r="F914" i="2"/>
  <c r="E914" i="2"/>
  <c r="D914" i="2"/>
  <c r="K717" i="2"/>
  <c r="J717" i="2"/>
  <c r="I717" i="2"/>
  <c r="H717" i="2"/>
  <c r="G717" i="2"/>
  <c r="F717" i="2"/>
  <c r="E717" i="2"/>
  <c r="D717" i="2"/>
  <c r="K685" i="2"/>
  <c r="J685" i="2"/>
  <c r="I685" i="2"/>
  <c r="H685" i="2"/>
  <c r="G685" i="2"/>
  <c r="F685" i="2"/>
  <c r="E685" i="2"/>
  <c r="D685" i="2"/>
  <c r="K611" i="2"/>
  <c r="J611" i="2"/>
  <c r="I611" i="2"/>
  <c r="H611" i="2"/>
  <c r="G611" i="2"/>
  <c r="F611" i="2"/>
  <c r="E611" i="2"/>
  <c r="D611" i="2"/>
  <c r="K604" i="2"/>
  <c r="J604" i="2"/>
  <c r="I604" i="2"/>
  <c r="H604" i="2"/>
  <c r="G604" i="2"/>
  <c r="F604" i="2"/>
  <c r="E604" i="2"/>
  <c r="D604" i="2"/>
  <c r="K565" i="2"/>
  <c r="J565" i="2"/>
  <c r="I565" i="2"/>
  <c r="H565" i="2"/>
  <c r="G565" i="2"/>
  <c r="F565" i="2"/>
  <c r="E565" i="2"/>
  <c r="D565" i="2"/>
  <c r="K55" i="2"/>
  <c r="J55" i="2"/>
  <c r="I55" i="2"/>
  <c r="H55" i="2"/>
  <c r="G55" i="2"/>
  <c r="F55" i="2"/>
  <c r="E55" i="2"/>
  <c r="D55" i="2"/>
  <c r="K53" i="2"/>
  <c r="J53" i="2"/>
  <c r="I53" i="2"/>
  <c r="H53" i="2"/>
  <c r="G53" i="2"/>
  <c r="F53" i="2"/>
  <c r="E53" i="2"/>
  <c r="D53" i="2"/>
  <c r="K724" i="2"/>
  <c r="J724" i="2"/>
  <c r="I724" i="2"/>
  <c r="H724" i="2"/>
  <c r="G724" i="2"/>
  <c r="F724" i="2"/>
  <c r="E724" i="2"/>
  <c r="D724" i="2"/>
  <c r="K74" i="2"/>
  <c r="J74" i="2"/>
  <c r="I74" i="2"/>
  <c r="H74" i="2"/>
  <c r="G74" i="2"/>
  <c r="F74" i="2"/>
  <c r="E74" i="2"/>
  <c r="D74" i="2"/>
  <c r="K912" i="2"/>
  <c r="J912" i="2"/>
  <c r="I912" i="2"/>
  <c r="H912" i="2"/>
  <c r="G912" i="2"/>
  <c r="F912" i="2"/>
  <c r="E912" i="2"/>
  <c r="D912" i="2"/>
  <c r="K865" i="2"/>
  <c r="J865" i="2"/>
  <c r="I865" i="2"/>
  <c r="H865" i="2"/>
  <c r="G865" i="2"/>
  <c r="F865" i="2"/>
  <c r="E865" i="2"/>
  <c r="D865" i="2"/>
  <c r="K437" i="2"/>
  <c r="J437" i="2"/>
  <c r="I437" i="2"/>
  <c r="H437" i="2"/>
  <c r="G437" i="2"/>
  <c r="F437" i="2"/>
  <c r="E437" i="2"/>
  <c r="D437" i="2"/>
  <c r="K903" i="2"/>
  <c r="J903" i="2"/>
  <c r="I903" i="2"/>
  <c r="H903" i="2"/>
  <c r="G903" i="2"/>
  <c r="F903" i="2"/>
  <c r="E903" i="2"/>
  <c r="D903" i="2"/>
  <c r="K745" i="2"/>
  <c r="J745" i="2"/>
  <c r="I745" i="2"/>
  <c r="H745" i="2"/>
  <c r="G745" i="2"/>
  <c r="F745" i="2"/>
  <c r="E745" i="2"/>
  <c r="D745" i="2"/>
  <c r="K537" i="2"/>
  <c r="J537" i="2"/>
  <c r="I537" i="2"/>
  <c r="H537" i="2"/>
  <c r="G537" i="2"/>
  <c r="F537" i="2"/>
  <c r="E537" i="2"/>
  <c r="D537" i="2"/>
  <c r="K418" i="2"/>
  <c r="J418" i="2"/>
  <c r="I418" i="2"/>
  <c r="H418" i="2"/>
  <c r="G418" i="2"/>
  <c r="F418" i="2"/>
  <c r="E418" i="2"/>
  <c r="D418" i="2"/>
  <c r="K269" i="2"/>
  <c r="J269" i="2"/>
  <c r="I269" i="2"/>
  <c r="H269" i="2"/>
  <c r="G269" i="2"/>
  <c r="F269" i="2"/>
  <c r="E269" i="2"/>
  <c r="D269" i="2"/>
  <c r="K252" i="2"/>
  <c r="J252" i="2"/>
  <c r="I252" i="2"/>
  <c r="H252" i="2"/>
  <c r="G252" i="2"/>
  <c r="F252" i="2"/>
  <c r="E252" i="2"/>
  <c r="D252" i="2"/>
  <c r="K202" i="2"/>
  <c r="J202" i="2"/>
  <c r="I202" i="2"/>
  <c r="H202" i="2"/>
  <c r="G202" i="2"/>
  <c r="F202" i="2"/>
  <c r="E202" i="2"/>
  <c r="D202" i="2"/>
  <c r="K105" i="2"/>
  <c r="J105" i="2"/>
  <c r="I105" i="2"/>
  <c r="H105" i="2"/>
  <c r="G105" i="2"/>
  <c r="F105" i="2"/>
  <c r="E105" i="2"/>
  <c r="D105" i="2"/>
  <c r="K59" i="2"/>
  <c r="J59" i="2"/>
  <c r="I59" i="2"/>
  <c r="H59" i="2"/>
  <c r="G59" i="2"/>
  <c r="F59" i="2"/>
  <c r="E59" i="2"/>
  <c r="D59" i="2"/>
  <c r="K49" i="2"/>
  <c r="J49" i="2"/>
  <c r="I49" i="2"/>
  <c r="H49" i="2"/>
  <c r="G49" i="2"/>
  <c r="F49" i="2"/>
  <c r="E49" i="2"/>
  <c r="D49" i="2"/>
  <c r="K169" i="2"/>
  <c r="J169" i="2"/>
  <c r="I169" i="2"/>
  <c r="H169" i="2"/>
  <c r="G169" i="2"/>
  <c r="F169" i="2"/>
  <c r="E169" i="2"/>
  <c r="D169" i="2"/>
  <c r="K892" i="2"/>
  <c r="J892" i="2"/>
  <c r="I892" i="2"/>
  <c r="H892" i="2"/>
  <c r="G892" i="2"/>
  <c r="F892" i="2"/>
  <c r="E892" i="2"/>
  <c r="D892" i="2"/>
  <c r="K868" i="2"/>
  <c r="J868" i="2"/>
  <c r="I868" i="2"/>
  <c r="H868" i="2"/>
  <c r="G868" i="2"/>
  <c r="F868" i="2"/>
  <c r="E868" i="2"/>
  <c r="D868" i="2"/>
  <c r="K800" i="2"/>
  <c r="J800" i="2"/>
  <c r="I800" i="2"/>
  <c r="H800" i="2"/>
  <c r="G800" i="2"/>
  <c r="F800" i="2"/>
  <c r="E800" i="2"/>
  <c r="D800" i="2"/>
  <c r="K597" i="2"/>
  <c r="J597" i="2"/>
  <c r="I597" i="2"/>
  <c r="H597" i="2"/>
  <c r="G597" i="2"/>
  <c r="F597" i="2"/>
  <c r="E597" i="2"/>
  <c r="D597" i="2"/>
  <c r="K556" i="2"/>
  <c r="J556" i="2"/>
  <c r="I556" i="2"/>
  <c r="H556" i="2"/>
  <c r="G556" i="2"/>
  <c r="F556" i="2"/>
  <c r="E556" i="2"/>
  <c r="D556" i="2"/>
  <c r="K480" i="2"/>
  <c r="J480" i="2"/>
  <c r="I480" i="2"/>
  <c r="H480" i="2"/>
  <c r="G480" i="2"/>
  <c r="F480" i="2"/>
  <c r="E480" i="2"/>
  <c r="D480" i="2"/>
  <c r="K469" i="2"/>
  <c r="J469" i="2"/>
  <c r="I469" i="2"/>
  <c r="H469" i="2"/>
  <c r="G469" i="2"/>
  <c r="F469" i="2"/>
  <c r="E469" i="2"/>
  <c r="D469" i="2"/>
  <c r="K398" i="2"/>
  <c r="J398" i="2"/>
  <c r="I398" i="2"/>
  <c r="H398" i="2"/>
  <c r="G398" i="2"/>
  <c r="F398" i="2"/>
  <c r="E398" i="2"/>
  <c r="D398" i="2"/>
  <c r="K268" i="2"/>
  <c r="J268" i="2"/>
  <c r="I268" i="2"/>
  <c r="H268" i="2"/>
  <c r="G268" i="2"/>
  <c r="F268" i="2"/>
  <c r="E268" i="2"/>
  <c r="D268" i="2"/>
  <c r="K161" i="2"/>
  <c r="J161" i="2"/>
  <c r="I161" i="2"/>
  <c r="H161" i="2"/>
  <c r="G161" i="2"/>
  <c r="F161" i="2"/>
  <c r="E161" i="2"/>
  <c r="D161" i="2"/>
  <c r="K57" i="2"/>
  <c r="J57" i="2"/>
  <c r="I57" i="2"/>
  <c r="H57" i="2"/>
  <c r="G57" i="2"/>
  <c r="F57" i="2"/>
  <c r="E57" i="2"/>
  <c r="D57" i="2"/>
  <c r="K458" i="2"/>
  <c r="J458" i="2"/>
  <c r="I458" i="2"/>
  <c r="H458" i="2"/>
  <c r="G458" i="2"/>
  <c r="F458" i="2"/>
  <c r="E458" i="2"/>
  <c r="D458" i="2"/>
  <c r="K91" i="2"/>
  <c r="J91" i="2"/>
  <c r="I91" i="2"/>
  <c r="H91" i="2"/>
  <c r="G91" i="2"/>
  <c r="F91" i="2"/>
  <c r="E91" i="2"/>
  <c r="D91" i="2"/>
  <c r="K778" i="2"/>
  <c r="J778" i="2"/>
  <c r="I778" i="2"/>
  <c r="H778" i="2"/>
  <c r="G778" i="2"/>
  <c r="F778" i="2"/>
  <c r="E778" i="2"/>
  <c r="D778" i="2"/>
  <c r="K496" i="2"/>
  <c r="J496" i="2"/>
  <c r="I496" i="2"/>
  <c r="H496" i="2"/>
  <c r="G496" i="2"/>
  <c r="F496" i="2"/>
  <c r="E496" i="2"/>
  <c r="D496" i="2"/>
  <c r="K492" i="2"/>
  <c r="J492" i="2"/>
  <c r="I492" i="2"/>
  <c r="H492" i="2"/>
  <c r="G492" i="2"/>
  <c r="F492" i="2"/>
  <c r="E492" i="2"/>
  <c r="D492" i="2"/>
  <c r="K362" i="2"/>
  <c r="J362" i="2"/>
  <c r="I362" i="2"/>
  <c r="H362" i="2"/>
  <c r="G362" i="2"/>
  <c r="F362" i="2"/>
  <c r="E362" i="2"/>
  <c r="D362" i="2"/>
  <c r="K356" i="2"/>
  <c r="J356" i="2"/>
  <c r="I356" i="2"/>
  <c r="H356" i="2"/>
  <c r="G356" i="2"/>
  <c r="F356" i="2"/>
  <c r="E356" i="2"/>
  <c r="D356" i="2"/>
  <c r="K337" i="2"/>
  <c r="J337" i="2"/>
  <c r="I337" i="2"/>
  <c r="H337" i="2"/>
  <c r="G337" i="2"/>
  <c r="F337" i="2"/>
  <c r="E337" i="2"/>
  <c r="D337" i="2"/>
  <c r="K297" i="2"/>
  <c r="J297" i="2"/>
  <c r="I297" i="2"/>
  <c r="H297" i="2"/>
  <c r="G297" i="2"/>
  <c r="F297" i="2"/>
  <c r="E297" i="2"/>
  <c r="D297" i="2"/>
  <c r="K83" i="2"/>
  <c r="J83" i="2"/>
  <c r="I83" i="2"/>
  <c r="H83" i="2"/>
  <c r="G83" i="2"/>
  <c r="F83" i="2"/>
  <c r="E83" i="2"/>
  <c r="D83" i="2"/>
  <c r="K862" i="2"/>
  <c r="J862" i="2"/>
  <c r="I862" i="2"/>
  <c r="H862" i="2"/>
  <c r="G862" i="2"/>
  <c r="F862" i="2"/>
  <c r="E862" i="2"/>
  <c r="D862" i="2"/>
  <c r="K826" i="2"/>
  <c r="J826" i="2"/>
  <c r="I826" i="2"/>
  <c r="H826" i="2"/>
  <c r="G826" i="2"/>
  <c r="F826" i="2"/>
  <c r="E826" i="2"/>
  <c r="D826" i="2"/>
  <c r="K640" i="2"/>
  <c r="J640" i="2"/>
  <c r="I640" i="2"/>
  <c r="H640" i="2"/>
  <c r="G640" i="2"/>
  <c r="F640" i="2"/>
  <c r="E640" i="2"/>
  <c r="D640" i="2"/>
  <c r="K631" i="2"/>
  <c r="J631" i="2"/>
  <c r="I631" i="2"/>
  <c r="H631" i="2"/>
  <c r="G631" i="2"/>
  <c r="F631" i="2"/>
  <c r="E631" i="2"/>
  <c r="D631" i="2"/>
  <c r="K621" i="2"/>
  <c r="J621" i="2"/>
  <c r="I621" i="2"/>
  <c r="H621" i="2"/>
  <c r="G621" i="2"/>
  <c r="F621" i="2"/>
  <c r="E621" i="2"/>
  <c r="D621" i="2"/>
  <c r="K836" i="2"/>
  <c r="J836" i="2"/>
  <c r="I836" i="2"/>
  <c r="H836" i="2"/>
  <c r="G836" i="2"/>
  <c r="F836" i="2"/>
  <c r="E836" i="2"/>
  <c r="D836" i="2"/>
  <c r="K721" i="2"/>
  <c r="J721" i="2"/>
  <c r="I721" i="2"/>
  <c r="H721" i="2"/>
  <c r="G721" i="2"/>
  <c r="F721" i="2"/>
  <c r="E721" i="2"/>
  <c r="D721" i="2"/>
  <c r="K543" i="2"/>
  <c r="J543" i="2"/>
  <c r="I543" i="2"/>
  <c r="H543" i="2"/>
  <c r="G543" i="2"/>
  <c r="F543" i="2"/>
  <c r="E543" i="2"/>
  <c r="D543" i="2"/>
  <c r="K461" i="2"/>
  <c r="J461" i="2"/>
  <c r="I461" i="2"/>
  <c r="H461" i="2"/>
  <c r="G461" i="2"/>
  <c r="F461" i="2"/>
  <c r="E461" i="2"/>
  <c r="D461" i="2"/>
  <c r="K305" i="2"/>
  <c r="J305" i="2"/>
  <c r="I305" i="2"/>
  <c r="H305" i="2"/>
  <c r="G305" i="2"/>
  <c r="F305" i="2"/>
  <c r="E305" i="2"/>
  <c r="D305" i="2"/>
  <c r="K188" i="2"/>
  <c r="J188" i="2"/>
  <c r="I188" i="2"/>
  <c r="H188" i="2"/>
  <c r="G188" i="2"/>
  <c r="F188" i="2"/>
  <c r="E188" i="2"/>
  <c r="D188" i="2"/>
  <c r="K102" i="2"/>
  <c r="J102" i="2"/>
  <c r="I102" i="2"/>
  <c r="H102" i="2"/>
  <c r="G102" i="2"/>
  <c r="F102" i="2"/>
  <c r="E102" i="2"/>
  <c r="D102" i="2"/>
  <c r="K920" i="2"/>
  <c r="J920" i="2"/>
  <c r="I920" i="2"/>
  <c r="H920" i="2"/>
  <c r="G920" i="2"/>
  <c r="F920" i="2"/>
  <c r="E920" i="2"/>
  <c r="D920" i="2"/>
  <c r="K874" i="2"/>
  <c r="J874" i="2"/>
  <c r="I874" i="2"/>
  <c r="H874" i="2"/>
  <c r="G874" i="2"/>
  <c r="F874" i="2"/>
  <c r="E874" i="2"/>
  <c r="D874" i="2"/>
  <c r="K820" i="2"/>
  <c r="J820" i="2"/>
  <c r="I820" i="2"/>
  <c r="H820" i="2"/>
  <c r="G820" i="2"/>
  <c r="F820" i="2"/>
  <c r="E820" i="2"/>
  <c r="D820" i="2"/>
  <c r="K741" i="2"/>
  <c r="J741" i="2"/>
  <c r="I741" i="2"/>
  <c r="H741" i="2"/>
  <c r="G741" i="2"/>
  <c r="F741" i="2"/>
  <c r="E741" i="2"/>
  <c r="D741" i="2"/>
  <c r="K579" i="2"/>
  <c r="J579" i="2"/>
  <c r="I579" i="2"/>
  <c r="H579" i="2"/>
  <c r="G579" i="2"/>
  <c r="F579" i="2"/>
  <c r="E579" i="2"/>
  <c r="D579" i="2"/>
  <c r="K516" i="2"/>
  <c r="J516" i="2"/>
  <c r="I516" i="2"/>
  <c r="H516" i="2"/>
  <c r="G516" i="2"/>
  <c r="F516" i="2"/>
  <c r="E516" i="2"/>
  <c r="D516" i="2"/>
  <c r="K195" i="2"/>
  <c r="J195" i="2"/>
  <c r="I195" i="2"/>
  <c r="H195" i="2"/>
  <c r="G195" i="2"/>
  <c r="F195" i="2"/>
  <c r="E195" i="2"/>
  <c r="D195" i="2"/>
  <c r="K137" i="2"/>
  <c r="J137" i="2"/>
  <c r="I137" i="2"/>
  <c r="H137" i="2"/>
  <c r="G137" i="2"/>
  <c r="F137" i="2"/>
  <c r="E137" i="2"/>
  <c r="D137" i="2"/>
  <c r="K886" i="2"/>
  <c r="J886" i="2"/>
  <c r="I886" i="2"/>
  <c r="H886" i="2"/>
  <c r="G886" i="2"/>
  <c r="F886" i="2"/>
  <c r="E886" i="2"/>
  <c r="D886" i="2"/>
  <c r="K799" i="2"/>
  <c r="J799" i="2"/>
  <c r="I799" i="2"/>
  <c r="H799" i="2"/>
  <c r="G799" i="2"/>
  <c r="F799" i="2"/>
  <c r="E799" i="2"/>
  <c r="D799" i="2"/>
  <c r="K634" i="2"/>
  <c r="J634" i="2"/>
  <c r="I634" i="2"/>
  <c r="H634" i="2"/>
  <c r="G634" i="2"/>
  <c r="F634" i="2"/>
  <c r="E634" i="2"/>
  <c r="D634" i="2"/>
  <c r="K630" i="2"/>
  <c r="J630" i="2"/>
  <c r="I630" i="2"/>
  <c r="H630" i="2"/>
  <c r="G630" i="2"/>
  <c r="F630" i="2"/>
  <c r="E630" i="2"/>
  <c r="D630" i="2"/>
  <c r="K541" i="2"/>
  <c r="J541" i="2"/>
  <c r="I541" i="2"/>
  <c r="H541" i="2"/>
  <c r="G541" i="2"/>
  <c r="F541" i="2"/>
  <c r="E541" i="2"/>
  <c r="D541" i="2"/>
  <c r="K404" i="2"/>
  <c r="J404" i="2"/>
  <c r="I404" i="2"/>
  <c r="H404" i="2"/>
  <c r="G404" i="2"/>
  <c r="F404" i="2"/>
  <c r="E404" i="2"/>
  <c r="D404" i="2"/>
  <c r="K246" i="2"/>
  <c r="J246" i="2"/>
  <c r="I246" i="2"/>
  <c r="H246" i="2"/>
  <c r="G246" i="2"/>
  <c r="F246" i="2"/>
  <c r="E246" i="2"/>
  <c r="D246" i="2"/>
  <c r="K218" i="2"/>
  <c r="J218" i="2"/>
  <c r="I218" i="2"/>
  <c r="H218" i="2"/>
  <c r="G218" i="2"/>
  <c r="F218" i="2"/>
  <c r="E218" i="2"/>
  <c r="D218" i="2"/>
  <c r="K146" i="2"/>
  <c r="J146" i="2"/>
  <c r="I146" i="2"/>
  <c r="H146" i="2"/>
  <c r="G146" i="2"/>
  <c r="F146" i="2"/>
  <c r="E146" i="2"/>
  <c r="D146" i="2"/>
  <c r="K31" i="2"/>
  <c r="J31" i="2"/>
  <c r="I31" i="2"/>
  <c r="H31" i="2"/>
  <c r="G31" i="2"/>
  <c r="F31" i="2"/>
  <c r="E31" i="2"/>
  <c r="D31" i="2"/>
  <c r="K863" i="2"/>
  <c r="J863" i="2"/>
  <c r="I863" i="2"/>
  <c r="H863" i="2"/>
  <c r="G863" i="2"/>
  <c r="F863" i="2"/>
  <c r="E863" i="2"/>
  <c r="D863" i="2"/>
  <c r="K822" i="2"/>
  <c r="J822" i="2"/>
  <c r="I822" i="2"/>
  <c r="H822" i="2"/>
  <c r="G822" i="2"/>
  <c r="F822" i="2"/>
  <c r="E822" i="2"/>
  <c r="D822" i="2"/>
  <c r="K816" i="2"/>
  <c r="J816" i="2"/>
  <c r="I816" i="2"/>
  <c r="H816" i="2"/>
  <c r="G816" i="2"/>
  <c r="F816" i="2"/>
  <c r="E816" i="2"/>
  <c r="D816" i="2"/>
  <c r="K709" i="2"/>
  <c r="J709" i="2"/>
  <c r="I709" i="2"/>
  <c r="H709" i="2"/>
  <c r="G709" i="2"/>
  <c r="F709" i="2"/>
  <c r="E709" i="2"/>
  <c r="D709" i="2"/>
  <c r="K286" i="2"/>
  <c r="J286" i="2"/>
  <c r="I286" i="2"/>
  <c r="H286" i="2"/>
  <c r="G286" i="2"/>
  <c r="F286" i="2"/>
  <c r="E286" i="2"/>
  <c r="D286" i="2"/>
  <c r="K112" i="2"/>
  <c r="J112" i="2"/>
  <c r="I112" i="2"/>
  <c r="H112" i="2"/>
  <c r="G112" i="2"/>
  <c r="F112" i="2"/>
  <c r="E112" i="2"/>
  <c r="D112" i="2"/>
  <c r="K877" i="2"/>
  <c r="J877" i="2"/>
  <c r="I877" i="2"/>
  <c r="H877" i="2"/>
  <c r="G877" i="2"/>
  <c r="F877" i="2"/>
  <c r="E877" i="2"/>
  <c r="D877" i="2"/>
  <c r="K383" i="2"/>
  <c r="J383" i="2"/>
  <c r="I383" i="2"/>
  <c r="H383" i="2"/>
  <c r="G383" i="2"/>
  <c r="F383" i="2"/>
  <c r="E383" i="2"/>
  <c r="D383" i="2"/>
  <c r="K539" i="2"/>
  <c r="J539" i="2"/>
  <c r="I539" i="2"/>
  <c r="H539" i="2"/>
  <c r="G539" i="2"/>
  <c r="F539" i="2"/>
  <c r="E539" i="2"/>
  <c r="D539" i="2"/>
  <c r="K494" i="2"/>
  <c r="J494" i="2"/>
  <c r="I494" i="2"/>
  <c r="H494" i="2"/>
  <c r="G494" i="2"/>
  <c r="F494" i="2"/>
  <c r="E494" i="2"/>
  <c r="D494" i="2"/>
  <c r="K485" i="2"/>
  <c r="J485" i="2"/>
  <c r="I485" i="2"/>
  <c r="H485" i="2"/>
  <c r="G485" i="2"/>
  <c r="F485" i="2"/>
  <c r="E485" i="2"/>
  <c r="D485" i="2"/>
  <c r="K427" i="2"/>
  <c r="J427" i="2"/>
  <c r="I427" i="2"/>
  <c r="H427" i="2"/>
  <c r="G427" i="2"/>
  <c r="F427" i="2"/>
  <c r="E427" i="2"/>
  <c r="D427" i="2"/>
  <c r="K357" i="2"/>
  <c r="J357" i="2"/>
  <c r="I357" i="2"/>
  <c r="H357" i="2"/>
  <c r="G357" i="2"/>
  <c r="F357" i="2"/>
  <c r="E357" i="2"/>
  <c r="D357" i="2"/>
  <c r="K351" i="2"/>
  <c r="J351" i="2"/>
  <c r="I351" i="2"/>
  <c r="H351" i="2"/>
  <c r="G351" i="2"/>
  <c r="F351" i="2"/>
  <c r="E351" i="2"/>
  <c r="D351" i="2"/>
  <c r="K263" i="2"/>
  <c r="J263" i="2"/>
  <c r="I263" i="2"/>
  <c r="H263" i="2"/>
  <c r="G263" i="2"/>
  <c r="F263" i="2"/>
  <c r="E263" i="2"/>
  <c r="D263" i="2"/>
  <c r="K201" i="2"/>
  <c r="J201" i="2"/>
  <c r="I201" i="2"/>
  <c r="H201" i="2"/>
  <c r="G201" i="2"/>
  <c r="F201" i="2"/>
  <c r="E201" i="2"/>
  <c r="D201" i="2"/>
  <c r="K162" i="2"/>
  <c r="J162" i="2"/>
  <c r="I162" i="2"/>
  <c r="H162" i="2"/>
  <c r="G162" i="2"/>
  <c r="F162" i="2"/>
  <c r="E162" i="2"/>
  <c r="D162" i="2"/>
  <c r="K78" i="2"/>
  <c r="J78" i="2"/>
  <c r="I78" i="2"/>
  <c r="H78" i="2"/>
  <c r="G78" i="2"/>
  <c r="F78" i="2"/>
  <c r="E78" i="2"/>
  <c r="D78" i="2"/>
  <c r="K22" i="2"/>
  <c r="J22" i="2"/>
  <c r="I22" i="2"/>
  <c r="H22" i="2"/>
  <c r="G22" i="2"/>
  <c r="F22" i="2"/>
  <c r="E22" i="2"/>
  <c r="D22" i="2"/>
  <c r="K940" i="2"/>
  <c r="J940" i="2"/>
  <c r="I940" i="2"/>
  <c r="H940" i="2"/>
  <c r="G940" i="2"/>
  <c r="F940" i="2"/>
  <c r="E940" i="2"/>
  <c r="D940" i="2"/>
  <c r="K757" i="2"/>
  <c r="J757" i="2"/>
  <c r="I757" i="2"/>
  <c r="H757" i="2"/>
  <c r="G757" i="2"/>
  <c r="F757" i="2"/>
  <c r="E757" i="2"/>
  <c r="D757" i="2"/>
  <c r="K396" i="2"/>
  <c r="J396" i="2"/>
  <c r="I396" i="2"/>
  <c r="H396" i="2"/>
  <c r="G396" i="2"/>
  <c r="F396" i="2"/>
  <c r="E396" i="2"/>
  <c r="D396" i="2"/>
  <c r="K791" i="2"/>
  <c r="J791" i="2"/>
  <c r="I791" i="2"/>
  <c r="H791" i="2"/>
  <c r="G791" i="2"/>
  <c r="F791" i="2"/>
  <c r="E791" i="2"/>
  <c r="D791" i="2"/>
  <c r="K705" i="2"/>
  <c r="J705" i="2"/>
  <c r="I705" i="2"/>
  <c r="H705" i="2"/>
  <c r="G705" i="2"/>
  <c r="F705" i="2"/>
  <c r="E705" i="2"/>
  <c r="D705" i="2"/>
  <c r="K441" i="2"/>
  <c r="J441" i="2"/>
  <c r="I441" i="2"/>
  <c r="H441" i="2"/>
  <c r="G441" i="2"/>
  <c r="F441" i="2"/>
  <c r="E441" i="2"/>
  <c r="D441" i="2"/>
  <c r="K439" i="2"/>
  <c r="J439" i="2"/>
  <c r="I439" i="2"/>
  <c r="H439" i="2"/>
  <c r="G439" i="2"/>
  <c r="F439" i="2"/>
  <c r="E439" i="2"/>
  <c r="D439" i="2"/>
  <c r="K310" i="2"/>
  <c r="J310" i="2"/>
  <c r="I310" i="2"/>
  <c r="H310" i="2"/>
  <c r="G310" i="2"/>
  <c r="F310" i="2"/>
  <c r="E310" i="2"/>
  <c r="D310" i="2"/>
  <c r="K66" i="2"/>
  <c r="J66" i="2"/>
  <c r="I66" i="2"/>
  <c r="H66" i="2"/>
  <c r="G66" i="2"/>
  <c r="F66" i="2"/>
  <c r="E66" i="2"/>
  <c r="D66" i="2"/>
  <c r="K810" i="2"/>
  <c r="J810" i="2"/>
  <c r="I810" i="2"/>
  <c r="H810" i="2"/>
  <c r="G810" i="2"/>
  <c r="F810" i="2"/>
  <c r="E810" i="2"/>
  <c r="D810" i="2"/>
  <c r="K775" i="2"/>
  <c r="J775" i="2"/>
  <c r="I775" i="2"/>
  <c r="H775" i="2"/>
  <c r="G775" i="2"/>
  <c r="F775" i="2"/>
  <c r="E775" i="2"/>
  <c r="D775" i="2"/>
  <c r="K767" i="2"/>
  <c r="J767" i="2"/>
  <c r="I767" i="2"/>
  <c r="H767" i="2"/>
  <c r="G767" i="2"/>
  <c r="F767" i="2"/>
  <c r="E767" i="2"/>
  <c r="D767" i="2"/>
  <c r="K662" i="2"/>
  <c r="J662" i="2"/>
  <c r="I662" i="2"/>
  <c r="H662" i="2"/>
  <c r="G662" i="2"/>
  <c r="F662" i="2"/>
  <c r="E662" i="2"/>
  <c r="D662" i="2"/>
  <c r="K240" i="2"/>
  <c r="J240" i="2"/>
  <c r="I240" i="2"/>
  <c r="H240" i="2"/>
  <c r="G240" i="2"/>
  <c r="F240" i="2"/>
  <c r="E240" i="2"/>
  <c r="D240" i="2"/>
  <c r="K311" i="2"/>
  <c r="J311" i="2"/>
  <c r="I311" i="2"/>
  <c r="H311" i="2"/>
  <c r="G311" i="2"/>
  <c r="F311" i="2"/>
  <c r="E311" i="2"/>
  <c r="D311" i="2"/>
  <c r="K794" i="2"/>
  <c r="J794" i="2"/>
  <c r="I794" i="2"/>
  <c r="H794" i="2"/>
  <c r="G794" i="2"/>
  <c r="F794" i="2"/>
  <c r="E794" i="2"/>
  <c r="D794" i="2"/>
  <c r="K763" i="2"/>
  <c r="J763" i="2"/>
  <c r="I763" i="2"/>
  <c r="H763" i="2"/>
  <c r="G763" i="2"/>
  <c r="F763" i="2"/>
  <c r="E763" i="2"/>
  <c r="D763" i="2"/>
  <c r="K702" i="2"/>
  <c r="J702" i="2"/>
  <c r="I702" i="2"/>
  <c r="H702" i="2"/>
  <c r="G702" i="2"/>
  <c r="F702" i="2"/>
  <c r="E702" i="2"/>
  <c r="D702" i="2"/>
  <c r="K678" i="2"/>
  <c r="J678" i="2"/>
  <c r="I678" i="2"/>
  <c r="H678" i="2"/>
  <c r="G678" i="2"/>
  <c r="F678" i="2"/>
  <c r="E678" i="2"/>
  <c r="D678" i="2"/>
  <c r="K526" i="2"/>
  <c r="J526" i="2"/>
  <c r="I526" i="2"/>
  <c r="H526" i="2"/>
  <c r="G526" i="2"/>
  <c r="F526" i="2"/>
  <c r="E526" i="2"/>
  <c r="D526" i="2"/>
  <c r="K523" i="2"/>
  <c r="J523" i="2"/>
  <c r="I523" i="2"/>
  <c r="H523" i="2"/>
  <c r="G523" i="2"/>
  <c r="F523" i="2"/>
  <c r="E523" i="2"/>
  <c r="D523" i="2"/>
  <c r="K279" i="2"/>
  <c r="J279" i="2"/>
  <c r="I279" i="2"/>
  <c r="H279" i="2"/>
  <c r="G279" i="2"/>
  <c r="F279" i="2"/>
  <c r="E279" i="2"/>
  <c r="D279" i="2"/>
  <c r="K232" i="2"/>
  <c r="J232" i="2"/>
  <c r="I232" i="2"/>
  <c r="H232" i="2"/>
  <c r="G232" i="2"/>
  <c r="F232" i="2"/>
  <c r="E232" i="2"/>
  <c r="D232" i="2"/>
  <c r="K97" i="2"/>
  <c r="J97" i="2"/>
  <c r="I97" i="2"/>
  <c r="H97" i="2"/>
  <c r="G97" i="2"/>
  <c r="F97" i="2"/>
  <c r="E97" i="2"/>
  <c r="D97" i="2"/>
  <c r="K71" i="2"/>
  <c r="J71" i="2"/>
  <c r="I71" i="2"/>
  <c r="H71" i="2"/>
  <c r="G71" i="2"/>
  <c r="F71" i="2"/>
  <c r="E71" i="2"/>
  <c r="D71" i="2"/>
  <c r="K801" i="2"/>
  <c r="J801" i="2"/>
  <c r="I801" i="2"/>
  <c r="H801" i="2"/>
  <c r="G801" i="2"/>
  <c r="F801" i="2"/>
  <c r="E801" i="2"/>
  <c r="D801" i="2"/>
  <c r="K691" i="2"/>
  <c r="J691" i="2"/>
  <c r="I691" i="2"/>
  <c r="H691" i="2"/>
  <c r="G691" i="2"/>
  <c r="F691" i="2"/>
  <c r="E691" i="2"/>
  <c r="D691" i="2"/>
  <c r="K665" i="2"/>
  <c r="J665" i="2"/>
  <c r="I665" i="2"/>
  <c r="H665" i="2"/>
  <c r="G665" i="2"/>
  <c r="F665" i="2"/>
  <c r="E665" i="2"/>
  <c r="D665" i="2"/>
  <c r="K628" i="2"/>
  <c r="J628" i="2"/>
  <c r="I628" i="2"/>
  <c r="H628" i="2"/>
  <c r="G628" i="2"/>
  <c r="F628" i="2"/>
  <c r="E628" i="2"/>
  <c r="D628" i="2"/>
  <c r="K524" i="2"/>
  <c r="J524" i="2"/>
  <c r="I524" i="2"/>
  <c r="H524" i="2"/>
  <c r="G524" i="2"/>
  <c r="F524" i="2"/>
  <c r="E524" i="2"/>
  <c r="D524" i="2"/>
  <c r="K370" i="2"/>
  <c r="J370" i="2"/>
  <c r="I370" i="2"/>
  <c r="H370" i="2"/>
  <c r="G370" i="2"/>
  <c r="F370" i="2"/>
  <c r="E370" i="2"/>
  <c r="D370" i="2"/>
  <c r="K365" i="2"/>
  <c r="J365" i="2"/>
  <c r="I365" i="2"/>
  <c r="H365" i="2"/>
  <c r="G365" i="2"/>
  <c r="F365" i="2"/>
  <c r="E365" i="2"/>
  <c r="D365" i="2"/>
  <c r="K103" i="2"/>
  <c r="J103" i="2"/>
  <c r="I103" i="2"/>
  <c r="H103" i="2"/>
  <c r="G103" i="2"/>
  <c r="F103" i="2"/>
  <c r="E103" i="2"/>
  <c r="D103" i="2"/>
  <c r="K24" i="2"/>
  <c r="J24" i="2"/>
  <c r="I24" i="2"/>
  <c r="H24" i="2"/>
  <c r="G24" i="2"/>
  <c r="F24" i="2"/>
  <c r="E24" i="2"/>
  <c r="D24" i="2"/>
  <c r="K889" i="2"/>
  <c r="J889" i="2"/>
  <c r="I889" i="2"/>
  <c r="H889" i="2"/>
  <c r="G889" i="2"/>
  <c r="F889" i="2"/>
  <c r="E889" i="2"/>
  <c r="D889" i="2"/>
  <c r="K798" i="2"/>
  <c r="J798" i="2"/>
  <c r="I798" i="2"/>
  <c r="H798" i="2"/>
  <c r="G798" i="2"/>
  <c r="F798" i="2"/>
  <c r="E798" i="2"/>
  <c r="D798" i="2"/>
  <c r="K719" i="2"/>
  <c r="J719" i="2"/>
  <c r="I719" i="2"/>
  <c r="H719" i="2"/>
  <c r="G719" i="2"/>
  <c r="F719" i="2"/>
  <c r="E719" i="2"/>
  <c r="D719" i="2"/>
  <c r="K281" i="2"/>
  <c r="J281" i="2"/>
  <c r="I281" i="2"/>
  <c r="H281" i="2"/>
  <c r="G281" i="2"/>
  <c r="F281" i="2"/>
  <c r="E281" i="2"/>
  <c r="D281" i="2"/>
  <c r="K261" i="2"/>
  <c r="J261" i="2"/>
  <c r="I261" i="2"/>
  <c r="H261" i="2"/>
  <c r="G261" i="2"/>
  <c r="F261" i="2"/>
  <c r="E261" i="2"/>
  <c r="D261" i="2"/>
  <c r="K81" i="2"/>
  <c r="J81" i="2"/>
  <c r="I81" i="2"/>
  <c r="H81" i="2"/>
  <c r="G81" i="2"/>
  <c r="F81" i="2"/>
  <c r="E81" i="2"/>
  <c r="D81" i="2"/>
  <c r="K935" i="2"/>
  <c r="J935" i="2"/>
  <c r="I935" i="2"/>
  <c r="H935" i="2"/>
  <c r="G935" i="2"/>
  <c r="F935" i="2"/>
  <c r="E935" i="2"/>
  <c r="D935" i="2"/>
  <c r="K821" i="2"/>
  <c r="J821" i="2"/>
  <c r="I821" i="2"/>
  <c r="H821" i="2"/>
  <c r="G821" i="2"/>
  <c r="F821" i="2"/>
  <c r="E821" i="2"/>
  <c r="D821" i="2"/>
  <c r="K661" i="2"/>
  <c r="J661" i="2"/>
  <c r="I661" i="2"/>
  <c r="H661" i="2"/>
  <c r="G661" i="2"/>
  <c r="F661" i="2"/>
  <c r="E661" i="2"/>
  <c r="D661" i="2"/>
  <c r="K456" i="2"/>
  <c r="J456" i="2"/>
  <c r="I456" i="2"/>
  <c r="H456" i="2"/>
  <c r="G456" i="2"/>
  <c r="F456" i="2"/>
  <c r="E456" i="2"/>
  <c r="D456" i="2"/>
  <c r="K292" i="2"/>
  <c r="J292" i="2"/>
  <c r="I292" i="2"/>
  <c r="H292" i="2"/>
  <c r="G292" i="2"/>
  <c r="F292" i="2"/>
  <c r="E292" i="2"/>
  <c r="D292" i="2"/>
  <c r="K270" i="2"/>
  <c r="J270" i="2"/>
  <c r="I270" i="2"/>
  <c r="H270" i="2"/>
  <c r="G270" i="2"/>
  <c r="F270" i="2"/>
  <c r="E270" i="2"/>
  <c r="D270" i="2"/>
  <c r="K166" i="2"/>
  <c r="J166" i="2"/>
  <c r="I166" i="2"/>
  <c r="H166" i="2"/>
  <c r="G166" i="2"/>
  <c r="F166" i="2"/>
  <c r="E166" i="2"/>
  <c r="D166" i="2"/>
  <c r="K93" i="2"/>
  <c r="J93" i="2"/>
  <c r="I93" i="2"/>
  <c r="H93" i="2"/>
  <c r="G93" i="2"/>
  <c r="F93" i="2"/>
  <c r="E93" i="2"/>
  <c r="D93" i="2"/>
  <c r="K884" i="2"/>
  <c r="J884" i="2"/>
  <c r="I884" i="2"/>
  <c r="H884" i="2"/>
  <c r="G884" i="2"/>
  <c r="F884" i="2"/>
  <c r="E884" i="2"/>
  <c r="D884" i="2"/>
  <c r="K673" i="2"/>
  <c r="J673" i="2"/>
  <c r="I673" i="2"/>
  <c r="H673" i="2"/>
  <c r="G673" i="2"/>
  <c r="F673" i="2"/>
  <c r="E673" i="2"/>
  <c r="D673" i="2"/>
  <c r="K549" i="2"/>
  <c r="J549" i="2"/>
  <c r="I549" i="2"/>
  <c r="H549" i="2"/>
  <c r="G549" i="2"/>
  <c r="F549" i="2"/>
  <c r="E549" i="2"/>
  <c r="D549" i="2"/>
  <c r="K432" i="2"/>
  <c r="J432" i="2"/>
  <c r="I432" i="2"/>
  <c r="H432" i="2"/>
  <c r="G432" i="2"/>
  <c r="F432" i="2"/>
  <c r="E432" i="2"/>
  <c r="D432" i="2"/>
  <c r="K399" i="2"/>
  <c r="J399" i="2"/>
  <c r="I399" i="2"/>
  <c r="H399" i="2"/>
  <c r="G399" i="2"/>
  <c r="F399" i="2"/>
  <c r="E399" i="2"/>
  <c r="D399" i="2"/>
  <c r="K878" i="2"/>
  <c r="J878" i="2"/>
  <c r="I878" i="2"/>
  <c r="H878" i="2"/>
  <c r="G878" i="2"/>
  <c r="F878" i="2"/>
  <c r="E878" i="2"/>
  <c r="D878" i="2"/>
  <c r="K538" i="2"/>
  <c r="J538" i="2"/>
  <c r="I538" i="2"/>
  <c r="H538" i="2"/>
  <c r="G538" i="2"/>
  <c r="F538" i="2"/>
  <c r="E538" i="2"/>
  <c r="D538" i="2"/>
  <c r="K430" i="2"/>
  <c r="J430" i="2"/>
  <c r="I430" i="2"/>
  <c r="H430" i="2"/>
  <c r="G430" i="2"/>
  <c r="F430" i="2"/>
  <c r="E430" i="2"/>
  <c r="D430" i="2"/>
  <c r="K239" i="2"/>
  <c r="J239" i="2"/>
  <c r="I239" i="2"/>
  <c r="H239" i="2"/>
  <c r="G239" i="2"/>
  <c r="F239" i="2"/>
  <c r="E239" i="2"/>
  <c r="D239" i="2"/>
  <c r="K226" i="2"/>
  <c r="J226" i="2"/>
  <c r="I226" i="2"/>
  <c r="H226" i="2"/>
  <c r="G226" i="2"/>
  <c r="F226" i="2"/>
  <c r="E226" i="2"/>
  <c r="D226" i="2"/>
  <c r="K107" i="2"/>
  <c r="J107" i="2"/>
  <c r="I107" i="2"/>
  <c r="H107" i="2"/>
  <c r="G107" i="2"/>
  <c r="F107" i="2"/>
  <c r="E107" i="2"/>
  <c r="D107" i="2"/>
  <c r="K902" i="2"/>
  <c r="J902" i="2"/>
  <c r="I902" i="2"/>
  <c r="H902" i="2"/>
  <c r="G902" i="2"/>
  <c r="F902" i="2"/>
  <c r="E902" i="2"/>
  <c r="D902" i="2"/>
  <c r="K852" i="2"/>
  <c r="J852" i="2"/>
  <c r="I852" i="2"/>
  <c r="H852" i="2"/>
  <c r="G852" i="2"/>
  <c r="F852" i="2"/>
  <c r="E852" i="2"/>
  <c r="D852" i="2"/>
  <c r="K749" i="2"/>
  <c r="E625" i="2"/>
  <c r="D625" i="2"/>
  <c r="K928" i="2"/>
  <c r="J928" i="2"/>
  <c r="I928" i="2"/>
  <c r="H928" i="2"/>
  <c r="G928" i="2"/>
  <c r="F928" i="2"/>
  <c r="E928" i="2"/>
  <c r="D928" i="2"/>
  <c r="K761" i="2"/>
  <c r="J761" i="2"/>
  <c r="I761" i="2"/>
  <c r="H761" i="2"/>
  <c r="G761" i="2"/>
  <c r="F761" i="2"/>
  <c r="E761" i="2"/>
  <c r="D761" i="2"/>
  <c r="K748" i="2"/>
  <c r="J748" i="2"/>
  <c r="I748" i="2"/>
  <c r="H748" i="2"/>
  <c r="G748" i="2"/>
  <c r="F748" i="2"/>
  <c r="E748" i="2"/>
  <c r="D748" i="2"/>
  <c r="K707" i="2"/>
  <c r="J707" i="2"/>
  <c r="I707" i="2"/>
  <c r="H707" i="2"/>
  <c r="G707" i="2"/>
  <c r="F707" i="2"/>
  <c r="E707" i="2"/>
  <c r="D707" i="2"/>
  <c r="K620" i="2"/>
  <c r="J620" i="2"/>
  <c r="I620" i="2"/>
  <c r="H620" i="2"/>
  <c r="G620" i="2"/>
  <c r="F620" i="2"/>
  <c r="E620" i="2"/>
  <c r="D620" i="2"/>
  <c r="K941" i="2"/>
  <c r="J941" i="2"/>
  <c r="I941" i="2"/>
  <c r="H941" i="2"/>
  <c r="G941" i="2"/>
  <c r="F941" i="2"/>
  <c r="E941" i="2"/>
  <c r="D941" i="2"/>
  <c r="K658" i="2"/>
  <c r="J658" i="2"/>
  <c r="I658" i="2"/>
  <c r="H658" i="2"/>
  <c r="G658" i="2"/>
  <c r="F658" i="2"/>
  <c r="E658" i="2"/>
  <c r="D658" i="2"/>
  <c r="K633" i="2"/>
  <c r="J633" i="2"/>
  <c r="I633" i="2"/>
  <c r="H633" i="2"/>
  <c r="G633" i="2"/>
  <c r="F633" i="2"/>
  <c r="E633" i="2"/>
  <c r="D633" i="2"/>
  <c r="K586" i="2"/>
  <c r="J586" i="2"/>
  <c r="I586" i="2"/>
  <c r="H586" i="2"/>
  <c r="G586" i="2"/>
  <c r="F586" i="2"/>
  <c r="E586" i="2"/>
  <c r="D586" i="2"/>
  <c r="K431" i="2"/>
  <c r="J431" i="2"/>
  <c r="I431" i="2"/>
  <c r="H431" i="2"/>
  <c r="G431" i="2"/>
  <c r="F431" i="2"/>
  <c r="E431" i="2"/>
  <c r="D431" i="2"/>
  <c r="K921" i="2"/>
  <c r="J921" i="2"/>
  <c r="I921" i="2"/>
  <c r="H921" i="2"/>
  <c r="G921" i="2"/>
  <c r="F921" i="2"/>
  <c r="E921" i="2"/>
  <c r="D921" i="2"/>
  <c r="K840" i="2"/>
  <c r="J840" i="2"/>
  <c r="I840" i="2"/>
  <c r="H840" i="2"/>
  <c r="G840" i="2"/>
  <c r="F840" i="2"/>
  <c r="E840" i="2"/>
  <c r="D840" i="2"/>
  <c r="K808" i="2"/>
  <c r="J808" i="2"/>
  <c r="I808" i="2"/>
  <c r="H808" i="2"/>
  <c r="G808" i="2"/>
  <c r="F808" i="2"/>
  <c r="E808" i="2"/>
  <c r="D808" i="2"/>
  <c r="K740" i="2"/>
  <c r="J740" i="2"/>
  <c r="I740" i="2"/>
  <c r="H740" i="2"/>
  <c r="G740" i="2"/>
  <c r="F740" i="2"/>
  <c r="E740" i="2"/>
  <c r="D740" i="2"/>
  <c r="K696" i="2"/>
  <c r="J696" i="2"/>
  <c r="I696" i="2"/>
  <c r="H696" i="2"/>
  <c r="G696" i="2"/>
  <c r="F696" i="2"/>
  <c r="E696" i="2"/>
  <c r="D696" i="2"/>
  <c r="K643" i="2"/>
  <c r="J643" i="2"/>
  <c r="I643" i="2"/>
  <c r="H643" i="2"/>
  <c r="G643" i="2"/>
  <c r="F643" i="2"/>
  <c r="E643" i="2"/>
  <c r="D643" i="2"/>
  <c r="K735" i="2"/>
  <c r="J735" i="2"/>
  <c r="I735" i="2"/>
  <c r="H735" i="2"/>
  <c r="G735" i="2"/>
  <c r="F735" i="2"/>
  <c r="E735" i="2"/>
  <c r="D735" i="2"/>
  <c r="K623" i="2"/>
  <c r="J623" i="2"/>
  <c r="I623" i="2"/>
  <c r="H623" i="2"/>
  <c r="G623" i="2"/>
  <c r="F623" i="2"/>
  <c r="E623" i="2"/>
  <c r="D623" i="2"/>
  <c r="K435" i="2"/>
  <c r="J435" i="2"/>
  <c r="I435" i="2"/>
  <c r="H435" i="2"/>
  <c r="G435" i="2"/>
  <c r="F435" i="2"/>
  <c r="E435" i="2"/>
  <c r="D435" i="2"/>
  <c r="K400" i="2"/>
  <c r="J400" i="2"/>
  <c r="I400" i="2"/>
  <c r="H400" i="2"/>
  <c r="G400" i="2"/>
  <c r="F400" i="2"/>
  <c r="E400" i="2"/>
  <c r="D400" i="2"/>
  <c r="K859" i="2"/>
  <c r="J859" i="2"/>
  <c r="I859" i="2"/>
  <c r="H859" i="2"/>
  <c r="G859" i="2"/>
  <c r="F859" i="2"/>
  <c r="E859" i="2"/>
  <c r="D859" i="2"/>
  <c r="K608" i="2"/>
  <c r="J608" i="2"/>
  <c r="I608" i="2"/>
  <c r="H608" i="2"/>
  <c r="G608" i="2"/>
  <c r="F608" i="2"/>
  <c r="E608" i="2"/>
  <c r="D608" i="2"/>
  <c r="K554" i="2"/>
  <c r="J554" i="2"/>
  <c r="I554" i="2"/>
  <c r="H554" i="2"/>
  <c r="G554" i="2"/>
  <c r="F554" i="2"/>
  <c r="E554" i="2"/>
  <c r="D554" i="2"/>
  <c r="K467" i="2"/>
  <c r="J467" i="2"/>
  <c r="I467" i="2"/>
  <c r="H467" i="2"/>
  <c r="G467" i="2"/>
  <c r="F467" i="2"/>
  <c r="E467" i="2"/>
  <c r="D467" i="2"/>
  <c r="K295" i="2"/>
  <c r="J295" i="2"/>
  <c r="I295" i="2"/>
  <c r="H295" i="2"/>
  <c r="G295" i="2"/>
  <c r="F295" i="2"/>
  <c r="E295" i="2"/>
  <c r="D295" i="2"/>
  <c r="K934" i="2"/>
  <c r="J934" i="2"/>
  <c r="I934" i="2"/>
  <c r="H934" i="2"/>
  <c r="G934" i="2"/>
  <c r="F934" i="2"/>
  <c r="E934" i="2"/>
  <c r="D934" i="2"/>
  <c r="K619" i="2"/>
  <c r="J619" i="2"/>
  <c r="I619" i="2"/>
  <c r="H619" i="2"/>
  <c r="G619" i="2"/>
  <c r="F619" i="2"/>
  <c r="E619" i="2"/>
  <c r="D619" i="2"/>
  <c r="K564" i="2"/>
  <c r="J564" i="2"/>
  <c r="I564" i="2"/>
  <c r="H564" i="2"/>
  <c r="G564" i="2"/>
  <c r="F564" i="2"/>
  <c r="E564" i="2"/>
  <c r="D564" i="2"/>
  <c r="K320" i="2"/>
  <c r="J320" i="2"/>
  <c r="I320" i="2"/>
  <c r="H320" i="2"/>
  <c r="G320" i="2"/>
  <c r="F320" i="2"/>
  <c r="E320" i="2"/>
  <c r="D320" i="2"/>
  <c r="K843" i="2"/>
  <c r="J843" i="2"/>
  <c r="I843" i="2"/>
  <c r="H843" i="2"/>
  <c r="G843" i="2"/>
  <c r="F843" i="2"/>
  <c r="E843" i="2"/>
  <c r="D843" i="2"/>
  <c r="K786" i="2"/>
  <c r="J786" i="2"/>
  <c r="I786" i="2"/>
  <c r="H786" i="2"/>
  <c r="G786" i="2"/>
  <c r="F786" i="2"/>
  <c r="E786" i="2"/>
  <c r="D786" i="2"/>
  <c r="K478" i="2"/>
  <c r="J478" i="2"/>
  <c r="I478" i="2"/>
  <c r="H478" i="2"/>
  <c r="G478" i="2"/>
  <c r="F478" i="2"/>
  <c r="E478" i="2"/>
  <c r="D478" i="2"/>
  <c r="K450" i="2"/>
  <c r="J450" i="2"/>
  <c r="I450" i="2"/>
  <c r="H450" i="2"/>
  <c r="G450" i="2"/>
  <c r="F450" i="2"/>
  <c r="E450" i="2"/>
  <c r="D450" i="2"/>
  <c r="K358" i="2"/>
  <c r="J358" i="2"/>
  <c r="I358" i="2"/>
  <c r="H358" i="2"/>
  <c r="G358" i="2"/>
  <c r="F358" i="2"/>
  <c r="E358" i="2"/>
  <c r="D358" i="2"/>
  <c r="K204" i="2"/>
  <c r="J204" i="2"/>
  <c r="I204" i="2"/>
  <c r="H204" i="2"/>
  <c r="G204" i="2"/>
  <c r="F204" i="2"/>
  <c r="E204" i="2"/>
  <c r="D204" i="2"/>
  <c r="K750" i="2"/>
  <c r="J750" i="2"/>
  <c r="I750" i="2"/>
  <c r="H750" i="2"/>
  <c r="G750" i="2"/>
  <c r="F750" i="2"/>
  <c r="E750" i="2"/>
  <c r="D750" i="2"/>
  <c r="K695" i="2"/>
  <c r="J695" i="2"/>
  <c r="I695" i="2"/>
  <c r="H695" i="2"/>
  <c r="G695" i="2"/>
  <c r="F695" i="2"/>
  <c r="E695" i="2"/>
  <c r="D695" i="2"/>
  <c r="K873" i="2"/>
  <c r="J873" i="2"/>
  <c r="I873" i="2"/>
  <c r="H873" i="2"/>
  <c r="G873" i="2"/>
  <c r="F873" i="2"/>
  <c r="E873" i="2"/>
  <c r="D873" i="2"/>
  <c r="K728" i="2"/>
  <c r="J728" i="2"/>
  <c r="I728" i="2"/>
  <c r="H728" i="2"/>
  <c r="G728" i="2"/>
  <c r="F728" i="2"/>
  <c r="E728" i="2"/>
  <c r="D728" i="2"/>
  <c r="K636" i="2"/>
  <c r="J636" i="2"/>
  <c r="I636" i="2"/>
  <c r="H636" i="2"/>
  <c r="G636" i="2"/>
  <c r="F636" i="2"/>
  <c r="E636" i="2"/>
  <c r="D636" i="2"/>
  <c r="K493" i="2"/>
  <c r="J493" i="2"/>
  <c r="I493" i="2"/>
  <c r="H493" i="2"/>
  <c r="G493" i="2"/>
  <c r="F493" i="2"/>
  <c r="E493" i="2"/>
  <c r="D493" i="2"/>
  <c r="K321" i="2"/>
  <c r="J321" i="2"/>
  <c r="I321" i="2"/>
  <c r="H321" i="2"/>
  <c r="G321" i="2"/>
  <c r="F321" i="2"/>
  <c r="E321" i="2"/>
  <c r="D321" i="2"/>
  <c r="K233" i="2"/>
  <c r="J233" i="2"/>
  <c r="I233" i="2"/>
  <c r="H233" i="2"/>
  <c r="G233" i="2"/>
  <c r="F233" i="2"/>
  <c r="E233" i="2"/>
  <c r="D233" i="2"/>
  <c r="K125" i="2"/>
  <c r="J125" i="2"/>
  <c r="I125" i="2"/>
  <c r="H125" i="2"/>
  <c r="G125" i="2"/>
  <c r="F125" i="2"/>
  <c r="E125" i="2"/>
  <c r="D125" i="2"/>
  <c r="K817" i="2"/>
  <c r="J817" i="2"/>
  <c r="I817" i="2"/>
  <c r="H817" i="2"/>
  <c r="G817" i="2"/>
  <c r="F817" i="2"/>
  <c r="E817" i="2"/>
  <c r="D817" i="2"/>
  <c r="K813" i="2"/>
  <c r="J813" i="2"/>
  <c r="I813" i="2"/>
  <c r="H813" i="2"/>
  <c r="G813" i="2"/>
  <c r="F813" i="2"/>
  <c r="E813" i="2"/>
  <c r="D813" i="2"/>
  <c r="K535" i="2"/>
  <c r="J535" i="2"/>
  <c r="I535" i="2"/>
  <c r="H535" i="2"/>
  <c r="G535" i="2"/>
  <c r="F535" i="2"/>
  <c r="E535" i="2"/>
  <c r="D535" i="2"/>
  <c r="K513" i="2"/>
  <c r="J513" i="2"/>
  <c r="I513" i="2"/>
  <c r="H513" i="2"/>
  <c r="G513" i="2"/>
  <c r="F513" i="2"/>
  <c r="E513" i="2"/>
  <c r="D513" i="2"/>
  <c r="K225" i="2"/>
  <c r="J225" i="2"/>
  <c r="I225" i="2"/>
  <c r="H225" i="2"/>
  <c r="G225" i="2"/>
  <c r="F225" i="2"/>
  <c r="E225" i="2"/>
  <c r="D225" i="2"/>
  <c r="K127" i="2"/>
  <c r="J127" i="2"/>
  <c r="I127" i="2"/>
  <c r="H127" i="2"/>
  <c r="G127" i="2"/>
  <c r="F127" i="2"/>
  <c r="E127" i="2"/>
  <c r="D127" i="2"/>
  <c r="K844" i="2"/>
  <c r="J844" i="2"/>
  <c r="I844" i="2"/>
  <c r="H844" i="2"/>
  <c r="G844" i="2"/>
  <c r="F844" i="2"/>
  <c r="E844" i="2"/>
  <c r="D844" i="2"/>
  <c r="K680" i="2"/>
  <c r="J680" i="2"/>
  <c r="I680" i="2"/>
  <c r="H680" i="2"/>
  <c r="G680" i="2"/>
  <c r="F680" i="2"/>
  <c r="E680" i="2"/>
  <c r="D680" i="2"/>
  <c r="K646" i="2"/>
  <c r="J646" i="2"/>
  <c r="I646" i="2"/>
  <c r="H646" i="2"/>
  <c r="G646" i="2"/>
  <c r="F646" i="2"/>
  <c r="E646" i="2"/>
  <c r="D646" i="2"/>
  <c r="K505" i="2"/>
  <c r="J505" i="2"/>
  <c r="I505" i="2"/>
  <c r="H505" i="2"/>
  <c r="G505" i="2"/>
  <c r="F505" i="2"/>
  <c r="E505" i="2"/>
  <c r="D505" i="2"/>
  <c r="K136" i="2"/>
  <c r="J136" i="2"/>
  <c r="I136" i="2"/>
  <c r="H136" i="2"/>
  <c r="G136" i="2"/>
  <c r="F136" i="2"/>
  <c r="E136" i="2"/>
  <c r="D136" i="2"/>
  <c r="K923" i="2"/>
  <c r="J923" i="2"/>
  <c r="I923" i="2"/>
  <c r="H923" i="2"/>
  <c r="G923" i="2"/>
  <c r="F923" i="2"/>
  <c r="E923" i="2"/>
  <c r="D923" i="2"/>
  <c r="K660" i="2"/>
  <c r="J660" i="2"/>
  <c r="I660" i="2"/>
  <c r="H660" i="2"/>
  <c r="G660" i="2"/>
  <c r="F660" i="2"/>
  <c r="E660" i="2"/>
  <c r="D660" i="2"/>
  <c r="K481" i="2"/>
  <c r="J481" i="2"/>
  <c r="I481" i="2"/>
  <c r="H481" i="2"/>
  <c r="G481" i="2"/>
  <c r="F481" i="2"/>
  <c r="E481" i="2"/>
  <c r="D481" i="2"/>
  <c r="K381" i="2"/>
  <c r="J381" i="2"/>
  <c r="I381" i="2"/>
  <c r="H381" i="2"/>
  <c r="G381" i="2"/>
  <c r="F381" i="2"/>
  <c r="E381" i="2"/>
  <c r="D381" i="2"/>
  <c r="K342" i="2"/>
  <c r="J342" i="2"/>
  <c r="I342" i="2"/>
  <c r="H342" i="2"/>
  <c r="G342" i="2"/>
  <c r="F342" i="2"/>
  <c r="E342" i="2"/>
  <c r="D342" i="2"/>
  <c r="K30" i="2"/>
  <c r="J30" i="2"/>
  <c r="I30" i="2"/>
  <c r="H30" i="2"/>
  <c r="G30" i="2"/>
  <c r="F30" i="2"/>
  <c r="E30" i="2"/>
  <c r="D30" i="2"/>
  <c r="K796" i="2"/>
  <c r="J796" i="2"/>
  <c r="I796" i="2"/>
  <c r="H796" i="2"/>
  <c r="G796" i="2"/>
  <c r="F796" i="2"/>
  <c r="E796" i="2"/>
  <c r="D796" i="2"/>
  <c r="K714" i="2"/>
  <c r="J714" i="2"/>
  <c r="I714" i="2"/>
  <c r="H714" i="2"/>
  <c r="G714" i="2"/>
  <c r="F714" i="2"/>
  <c r="E714" i="2"/>
  <c r="D714" i="2"/>
  <c r="K590" i="2"/>
  <c r="J590" i="2"/>
  <c r="I590" i="2"/>
  <c r="H590" i="2"/>
  <c r="G590" i="2"/>
  <c r="F590" i="2"/>
  <c r="E590" i="2"/>
  <c r="D590" i="2"/>
  <c r="K501" i="2"/>
  <c r="J501" i="2"/>
  <c r="I501" i="2"/>
  <c r="H501" i="2"/>
  <c r="G501" i="2"/>
  <c r="F501" i="2"/>
  <c r="E501" i="2"/>
  <c r="D501" i="2"/>
  <c r="K471" i="2"/>
  <c r="J471" i="2"/>
  <c r="I471" i="2"/>
  <c r="H471" i="2"/>
  <c r="G471" i="2"/>
  <c r="F471" i="2"/>
  <c r="E471" i="2"/>
  <c r="D471" i="2"/>
  <c r="K366" i="2"/>
  <c r="J366" i="2"/>
  <c r="I366" i="2"/>
  <c r="H366" i="2"/>
  <c r="G366" i="2"/>
  <c r="F366" i="2"/>
  <c r="E366" i="2"/>
  <c r="D366" i="2"/>
  <c r="K255" i="2"/>
  <c r="J255" i="2"/>
  <c r="I255" i="2"/>
  <c r="H255" i="2"/>
  <c r="G255" i="2"/>
  <c r="F255" i="2"/>
  <c r="E255" i="2"/>
  <c r="D255" i="2"/>
  <c r="K21" i="2"/>
  <c r="J21" i="2"/>
  <c r="I21" i="2"/>
  <c r="H21" i="2"/>
  <c r="G21" i="2"/>
  <c r="F21" i="2"/>
  <c r="E21" i="2"/>
  <c r="D21" i="2"/>
  <c r="K751" i="2"/>
  <c r="J751" i="2"/>
  <c r="I751" i="2"/>
  <c r="H751" i="2"/>
  <c r="G751" i="2"/>
  <c r="F751" i="2"/>
  <c r="E751" i="2"/>
  <c r="D751" i="2"/>
  <c r="K42" i="2"/>
  <c r="J42" i="2"/>
  <c r="I42" i="2"/>
  <c r="H42" i="2"/>
  <c r="G42" i="2"/>
  <c r="F42" i="2"/>
  <c r="E42" i="2"/>
  <c r="D42" i="2"/>
  <c r="K869" i="2"/>
  <c r="J869" i="2"/>
  <c r="I869" i="2"/>
  <c r="H869" i="2"/>
  <c r="G869" i="2"/>
  <c r="F869" i="2"/>
  <c r="E869" i="2"/>
  <c r="D869" i="2"/>
  <c r="K847" i="2"/>
  <c r="J847" i="2"/>
  <c r="I847" i="2"/>
  <c r="H847" i="2"/>
  <c r="G847" i="2"/>
  <c r="F847" i="2"/>
  <c r="E847" i="2"/>
  <c r="D847" i="2"/>
  <c r="K806" i="2"/>
  <c r="J806" i="2"/>
  <c r="I806" i="2"/>
  <c r="H806" i="2"/>
  <c r="G806" i="2"/>
  <c r="F806" i="2"/>
  <c r="E806" i="2"/>
  <c r="D806" i="2"/>
  <c r="K805" i="2"/>
  <c r="J805" i="2"/>
  <c r="I805" i="2"/>
  <c r="H805" i="2"/>
  <c r="G805" i="2"/>
  <c r="F805" i="2"/>
  <c r="E805" i="2"/>
  <c r="D805" i="2"/>
  <c r="K644" i="2"/>
  <c r="J644" i="2"/>
  <c r="I644" i="2"/>
  <c r="H644" i="2"/>
  <c r="G644" i="2"/>
  <c r="F644" i="2"/>
  <c r="E644" i="2"/>
  <c r="D644" i="2"/>
  <c r="K606" i="2"/>
  <c r="J606" i="2"/>
  <c r="I606" i="2"/>
  <c r="H606" i="2"/>
  <c r="G606" i="2"/>
  <c r="F606" i="2"/>
  <c r="E606" i="2"/>
  <c r="D606" i="2"/>
  <c r="K530" i="2"/>
  <c r="J530" i="2"/>
  <c r="I530" i="2"/>
  <c r="H530" i="2"/>
  <c r="G530" i="2"/>
  <c r="F530" i="2"/>
  <c r="E530" i="2"/>
  <c r="D530" i="2"/>
  <c r="K468" i="2"/>
  <c r="J468" i="2"/>
  <c r="I468" i="2"/>
  <c r="H468" i="2"/>
  <c r="G468" i="2"/>
  <c r="F468" i="2"/>
  <c r="E468" i="2"/>
  <c r="D468" i="2"/>
  <c r="K276" i="2"/>
  <c r="J276" i="2"/>
  <c r="I276" i="2"/>
  <c r="H276" i="2"/>
  <c r="G276" i="2"/>
  <c r="F276" i="2"/>
  <c r="E276" i="2"/>
  <c r="D276" i="2"/>
  <c r="K159" i="2"/>
  <c r="J159" i="2"/>
  <c r="I159" i="2"/>
  <c r="H159" i="2"/>
  <c r="G159" i="2"/>
  <c r="F159" i="2"/>
  <c r="E159" i="2"/>
  <c r="D159" i="2"/>
  <c r="K883" i="2"/>
  <c r="J883" i="2"/>
  <c r="I883" i="2"/>
  <c r="H883" i="2"/>
  <c r="G883" i="2"/>
  <c r="F883" i="2"/>
  <c r="E883" i="2"/>
  <c r="D883" i="2"/>
  <c r="K802" i="2"/>
  <c r="J802" i="2"/>
  <c r="I802" i="2"/>
  <c r="H802" i="2"/>
  <c r="G802" i="2"/>
  <c r="F802" i="2"/>
  <c r="E802" i="2"/>
  <c r="D802" i="2"/>
  <c r="K438" i="2"/>
  <c r="J438" i="2"/>
  <c r="I438" i="2"/>
  <c r="H438" i="2"/>
  <c r="G438" i="2"/>
  <c r="F438" i="2"/>
  <c r="E438" i="2"/>
  <c r="D438" i="2"/>
  <c r="K247" i="2"/>
  <c r="J247" i="2"/>
  <c r="I247" i="2"/>
  <c r="H247" i="2"/>
  <c r="G247" i="2"/>
  <c r="F247" i="2"/>
  <c r="E247" i="2"/>
  <c r="D247" i="2"/>
  <c r="K896" i="2"/>
  <c r="J896" i="2"/>
  <c r="I896" i="2"/>
  <c r="H896" i="2"/>
  <c r="G896" i="2"/>
  <c r="F896" i="2"/>
  <c r="E896" i="2"/>
  <c r="D896" i="2"/>
  <c r="K885" i="2"/>
  <c r="J885" i="2"/>
  <c r="I885" i="2"/>
  <c r="H885" i="2"/>
  <c r="G885" i="2"/>
  <c r="F885" i="2"/>
  <c r="E885" i="2"/>
  <c r="D885" i="2"/>
  <c r="K681" i="2"/>
  <c r="J681" i="2"/>
  <c r="I681" i="2"/>
  <c r="H681" i="2"/>
  <c r="G681" i="2"/>
  <c r="F681" i="2"/>
  <c r="E681" i="2"/>
  <c r="D681" i="2"/>
  <c r="K434" i="2"/>
  <c r="J434" i="2"/>
  <c r="I434" i="2"/>
  <c r="H434" i="2"/>
  <c r="G434" i="2"/>
  <c r="F434" i="2"/>
  <c r="E434" i="2"/>
  <c r="D434" i="2"/>
  <c r="K422" i="2"/>
  <c r="J422" i="2"/>
  <c r="I422" i="2"/>
  <c r="H422" i="2"/>
  <c r="G422" i="2"/>
  <c r="F422" i="2"/>
  <c r="E422" i="2"/>
  <c r="D422" i="2"/>
  <c r="K323" i="2"/>
  <c r="J323" i="2"/>
  <c r="I323" i="2"/>
  <c r="H323" i="2"/>
  <c r="G323" i="2"/>
  <c r="F323" i="2"/>
  <c r="E323" i="2"/>
  <c r="D323" i="2"/>
  <c r="K290" i="2"/>
  <c r="J290" i="2"/>
  <c r="I290" i="2"/>
  <c r="H290" i="2"/>
  <c r="G290" i="2"/>
  <c r="F290" i="2"/>
  <c r="E290" i="2"/>
  <c r="D290" i="2"/>
  <c r="K893" i="2"/>
  <c r="J893" i="2"/>
  <c r="I893" i="2"/>
  <c r="H893" i="2"/>
  <c r="G893" i="2"/>
  <c r="F893" i="2"/>
  <c r="E893" i="2"/>
  <c r="D893" i="2"/>
  <c r="K712" i="2"/>
  <c r="J712" i="2"/>
  <c r="I712" i="2"/>
  <c r="H712" i="2"/>
  <c r="G712" i="2"/>
  <c r="F712" i="2"/>
  <c r="E712" i="2"/>
  <c r="D712" i="2"/>
  <c r="K402" i="2"/>
  <c r="J402" i="2"/>
  <c r="I402" i="2"/>
  <c r="H402" i="2"/>
  <c r="G402" i="2"/>
  <c r="F402" i="2"/>
  <c r="E402" i="2"/>
  <c r="D402" i="2"/>
  <c r="K106" i="2"/>
  <c r="J106" i="2"/>
  <c r="I106" i="2"/>
  <c r="H106" i="2"/>
  <c r="G106" i="2"/>
  <c r="F106" i="2"/>
  <c r="E106" i="2"/>
  <c r="D106" i="2"/>
  <c r="K506" i="2"/>
  <c r="J506" i="2"/>
  <c r="I506" i="2"/>
  <c r="H506" i="2"/>
  <c r="G506" i="2"/>
  <c r="F506" i="2"/>
  <c r="E506" i="2"/>
  <c r="D506" i="2"/>
  <c r="K372" i="2"/>
  <c r="J372" i="2"/>
  <c r="I372" i="2"/>
  <c r="H372" i="2"/>
  <c r="G372" i="2"/>
  <c r="F372" i="2"/>
  <c r="E372" i="2"/>
  <c r="D372" i="2"/>
  <c r="K152" i="2"/>
  <c r="J152" i="2"/>
  <c r="I152" i="2"/>
  <c r="H152" i="2"/>
  <c r="G152" i="2"/>
  <c r="F152" i="2"/>
  <c r="E152" i="2"/>
  <c r="D152" i="2"/>
  <c r="K120" i="2"/>
  <c r="J120" i="2"/>
  <c r="I120" i="2"/>
  <c r="H120" i="2"/>
  <c r="G120" i="2"/>
  <c r="F120" i="2"/>
  <c r="E120" i="2"/>
  <c r="D120" i="2"/>
  <c r="K15" i="2"/>
  <c r="J15" i="2"/>
  <c r="I15" i="2"/>
  <c r="H15" i="2"/>
  <c r="G15" i="2"/>
  <c r="F15" i="2"/>
  <c r="E15" i="2"/>
  <c r="D15" i="2"/>
  <c r="K908" i="2"/>
  <c r="J908" i="2"/>
  <c r="I908" i="2"/>
  <c r="H908" i="2"/>
  <c r="G908" i="2"/>
  <c r="F908" i="2"/>
  <c r="E908" i="2"/>
  <c r="D908" i="2"/>
  <c r="K650" i="2"/>
  <c r="J650" i="2"/>
  <c r="I650" i="2"/>
  <c r="H650" i="2"/>
  <c r="G650" i="2"/>
  <c r="F650" i="2"/>
  <c r="E650" i="2"/>
  <c r="D650" i="2"/>
  <c r="K595" i="2"/>
  <c r="J595" i="2"/>
  <c r="I595" i="2"/>
  <c r="H595" i="2"/>
  <c r="G595" i="2"/>
  <c r="F595" i="2"/>
  <c r="E595" i="2"/>
  <c r="D595" i="2"/>
  <c r="K547" i="2"/>
  <c r="J547" i="2"/>
  <c r="I547" i="2"/>
  <c r="H547" i="2"/>
  <c r="G547" i="2"/>
  <c r="F547" i="2"/>
  <c r="E547" i="2"/>
  <c r="D547" i="2"/>
  <c r="K254" i="2"/>
  <c r="J254" i="2"/>
  <c r="I254" i="2"/>
  <c r="H254" i="2"/>
  <c r="G254" i="2"/>
  <c r="F254" i="2"/>
  <c r="E254" i="2"/>
  <c r="D254" i="2"/>
  <c r="K217" i="2"/>
  <c r="J217" i="2"/>
  <c r="I217" i="2"/>
  <c r="H217" i="2"/>
  <c r="G217" i="2"/>
  <c r="F217" i="2"/>
  <c r="E217" i="2"/>
  <c r="D217" i="2"/>
  <c r="K116" i="2"/>
  <c r="J116" i="2"/>
  <c r="I116" i="2"/>
  <c r="H116" i="2"/>
  <c r="G116" i="2"/>
  <c r="F116" i="2"/>
  <c r="E116" i="2"/>
  <c r="D116" i="2"/>
  <c r="K807" i="2"/>
  <c r="J807" i="2"/>
  <c r="I807" i="2"/>
  <c r="H807" i="2"/>
  <c r="G807" i="2"/>
  <c r="F807" i="2"/>
  <c r="E807" i="2"/>
  <c r="D807" i="2"/>
  <c r="K706" i="2"/>
  <c r="J706" i="2"/>
  <c r="I706" i="2"/>
  <c r="H706" i="2"/>
  <c r="G706" i="2"/>
  <c r="F706" i="2"/>
  <c r="E706" i="2"/>
  <c r="D706" i="2"/>
  <c r="K385" i="2"/>
  <c r="J385" i="2"/>
  <c r="I385" i="2"/>
  <c r="H385" i="2"/>
  <c r="G385" i="2"/>
  <c r="F385" i="2"/>
  <c r="E385" i="2"/>
  <c r="D385" i="2"/>
  <c r="K142" i="2"/>
  <c r="J142" i="2"/>
  <c r="I142" i="2"/>
  <c r="H142" i="2"/>
  <c r="G142" i="2"/>
  <c r="F142" i="2"/>
  <c r="E142" i="2"/>
  <c r="D142" i="2"/>
  <c r="K823" i="2"/>
  <c r="J823" i="2"/>
  <c r="I823" i="2"/>
  <c r="H823" i="2"/>
  <c r="G823" i="2"/>
  <c r="F823" i="2"/>
  <c r="E823" i="2"/>
  <c r="D823" i="2"/>
  <c r="K363" i="2"/>
  <c r="J363" i="2"/>
  <c r="I363" i="2"/>
  <c r="H363" i="2"/>
  <c r="G363" i="2"/>
  <c r="F363" i="2"/>
  <c r="E363" i="2"/>
  <c r="D363" i="2"/>
  <c r="K271" i="2"/>
  <c r="J271" i="2"/>
  <c r="I271" i="2"/>
  <c r="H271" i="2"/>
  <c r="G271" i="2"/>
  <c r="F271" i="2"/>
  <c r="E271" i="2"/>
  <c r="D271" i="2"/>
  <c r="K231" i="2"/>
  <c r="J231" i="2"/>
  <c r="I231" i="2"/>
  <c r="H231" i="2"/>
  <c r="G231" i="2"/>
  <c r="F231" i="2"/>
  <c r="E231" i="2"/>
  <c r="D231" i="2"/>
  <c r="K98" i="2"/>
  <c r="J98" i="2"/>
  <c r="I98" i="2"/>
  <c r="H98" i="2"/>
  <c r="G98" i="2"/>
  <c r="F98" i="2"/>
  <c r="E98" i="2"/>
  <c r="D98" i="2"/>
  <c r="K536" i="2"/>
  <c r="J536" i="2"/>
  <c r="I536" i="2"/>
  <c r="H536" i="2"/>
  <c r="G536" i="2"/>
  <c r="F536" i="2"/>
  <c r="E536" i="2"/>
  <c r="D536" i="2"/>
  <c r="K344" i="2"/>
  <c r="J344" i="2"/>
  <c r="I344" i="2"/>
  <c r="H344" i="2"/>
  <c r="G344" i="2"/>
  <c r="F344" i="2"/>
  <c r="E344" i="2"/>
  <c r="D344" i="2"/>
  <c r="K313" i="2"/>
  <c r="J313" i="2"/>
  <c r="I313" i="2"/>
  <c r="H313" i="2"/>
  <c r="G313" i="2"/>
  <c r="F313" i="2"/>
  <c r="E313" i="2"/>
  <c r="D313" i="2"/>
  <c r="K33" i="2"/>
  <c r="J33" i="2"/>
  <c r="I33" i="2"/>
  <c r="H33" i="2"/>
  <c r="G33" i="2"/>
  <c r="F33" i="2"/>
  <c r="E33" i="2"/>
  <c r="D33" i="2"/>
  <c r="K930" i="2"/>
  <c r="J930" i="2"/>
  <c r="I930" i="2"/>
  <c r="H930" i="2"/>
  <c r="G930" i="2"/>
  <c r="F930" i="2"/>
  <c r="E930" i="2"/>
  <c r="D930" i="2"/>
  <c r="K910" i="2"/>
  <c r="J910" i="2"/>
  <c r="I910" i="2"/>
  <c r="H910" i="2"/>
  <c r="G910" i="2"/>
  <c r="F910" i="2"/>
  <c r="E910" i="2"/>
  <c r="D910" i="2"/>
  <c r="K519" i="2"/>
  <c r="J519" i="2"/>
  <c r="I519" i="2"/>
  <c r="H519" i="2"/>
  <c r="G519" i="2"/>
  <c r="F519" i="2"/>
  <c r="E519" i="2"/>
  <c r="D519" i="2"/>
  <c r="K237" i="2"/>
  <c r="J237" i="2"/>
  <c r="I237" i="2"/>
  <c r="H237" i="2"/>
  <c r="G237" i="2"/>
  <c r="F237" i="2"/>
  <c r="E237" i="2"/>
  <c r="D237" i="2"/>
  <c r="K942" i="2"/>
  <c r="J942" i="2"/>
  <c r="I942" i="2"/>
  <c r="H942" i="2"/>
  <c r="G942" i="2"/>
  <c r="F942" i="2"/>
  <c r="E942" i="2"/>
  <c r="D942" i="2"/>
  <c r="K777" i="2"/>
  <c r="J777" i="2"/>
  <c r="I777" i="2"/>
  <c r="H777" i="2"/>
  <c r="G777" i="2"/>
  <c r="F777" i="2"/>
  <c r="E777" i="2"/>
  <c r="D777" i="2"/>
  <c r="K694" i="2"/>
  <c r="J694" i="2"/>
  <c r="I694" i="2"/>
  <c r="H694" i="2"/>
  <c r="G694" i="2"/>
  <c r="F694" i="2"/>
  <c r="E694" i="2"/>
  <c r="D694" i="2"/>
  <c r="K411" i="2"/>
  <c r="J411" i="2"/>
  <c r="I411" i="2"/>
  <c r="H411" i="2"/>
  <c r="G411" i="2"/>
  <c r="F411" i="2"/>
  <c r="E411" i="2"/>
  <c r="D411" i="2"/>
  <c r="K916" i="2"/>
  <c r="J916" i="2"/>
  <c r="I916" i="2"/>
  <c r="H916" i="2"/>
  <c r="G916" i="2"/>
  <c r="F916" i="2"/>
  <c r="E916" i="2"/>
  <c r="D916" i="2"/>
  <c r="K766" i="2"/>
  <c r="J766" i="2"/>
  <c r="I766" i="2"/>
  <c r="H766" i="2"/>
  <c r="G766" i="2"/>
  <c r="F766" i="2"/>
  <c r="E766" i="2"/>
  <c r="D766" i="2"/>
  <c r="K580" i="2"/>
  <c r="J580" i="2"/>
  <c r="I580" i="2"/>
  <c r="H580" i="2"/>
  <c r="G580" i="2"/>
  <c r="F580" i="2"/>
  <c r="E580" i="2"/>
  <c r="D580" i="2"/>
  <c r="K442" i="2"/>
  <c r="J442" i="2"/>
  <c r="I442" i="2"/>
  <c r="H442" i="2"/>
  <c r="G442" i="2"/>
  <c r="F442" i="2"/>
  <c r="E442" i="2"/>
  <c r="D442" i="2"/>
  <c r="K187" i="2"/>
  <c r="J187" i="2"/>
  <c r="I187" i="2"/>
  <c r="H187" i="2"/>
  <c r="G187" i="2"/>
  <c r="F187" i="2"/>
  <c r="E187" i="2"/>
  <c r="D187" i="2"/>
  <c r="K895" i="2"/>
  <c r="J895" i="2"/>
  <c r="I895" i="2"/>
  <c r="H895" i="2"/>
  <c r="G895" i="2"/>
  <c r="F895" i="2"/>
  <c r="E895" i="2"/>
  <c r="D895" i="2"/>
  <c r="K736" i="2"/>
  <c r="J736" i="2"/>
  <c r="I736" i="2"/>
  <c r="H736" i="2"/>
  <c r="G736" i="2"/>
  <c r="F736" i="2"/>
  <c r="E736" i="2"/>
  <c r="D736" i="2"/>
  <c r="K613" i="2"/>
  <c r="J613" i="2"/>
  <c r="I613" i="2"/>
  <c r="H613" i="2"/>
  <c r="G613" i="2"/>
  <c r="F613" i="2"/>
  <c r="E613" i="2"/>
  <c r="D613" i="2"/>
  <c r="K414" i="2"/>
  <c r="J414" i="2"/>
  <c r="I414" i="2"/>
  <c r="H414" i="2"/>
  <c r="G414" i="2"/>
  <c r="F414" i="2"/>
  <c r="E414" i="2"/>
  <c r="D414" i="2"/>
  <c r="K857" i="2"/>
  <c r="J857" i="2"/>
  <c r="I857" i="2"/>
  <c r="H857" i="2"/>
  <c r="G857" i="2"/>
  <c r="F857" i="2"/>
  <c r="E857" i="2"/>
  <c r="D857" i="2"/>
  <c r="K627" i="2"/>
  <c r="J627" i="2"/>
  <c r="I627" i="2"/>
  <c r="H627" i="2"/>
  <c r="G627" i="2"/>
  <c r="F627" i="2"/>
  <c r="E627" i="2"/>
  <c r="D627" i="2"/>
  <c r="K560" i="2"/>
  <c r="J560" i="2"/>
  <c r="I560" i="2"/>
  <c r="H560" i="2"/>
  <c r="G560" i="2"/>
  <c r="F560" i="2"/>
  <c r="E560" i="2"/>
  <c r="D560" i="2"/>
  <c r="K341" i="2"/>
  <c r="J341" i="2"/>
  <c r="I341" i="2"/>
  <c r="H341" i="2"/>
  <c r="G341" i="2"/>
  <c r="F341" i="2"/>
  <c r="E341" i="2"/>
  <c r="D341" i="2"/>
  <c r="K515" i="2"/>
  <c r="J515" i="2"/>
  <c r="I515" i="2"/>
  <c r="H515" i="2"/>
  <c r="G515" i="2"/>
  <c r="F515" i="2"/>
  <c r="E515" i="2"/>
  <c r="D515" i="2"/>
  <c r="K426" i="2"/>
  <c r="J426" i="2"/>
  <c r="I426" i="2"/>
  <c r="H426" i="2"/>
  <c r="G426" i="2"/>
  <c r="F426" i="2"/>
  <c r="E426" i="2"/>
  <c r="D426" i="2"/>
  <c r="K132" i="2"/>
  <c r="J132" i="2"/>
  <c r="I132" i="2"/>
  <c r="H132" i="2"/>
  <c r="G132" i="2"/>
  <c r="F132" i="2"/>
  <c r="E132" i="2"/>
  <c r="D132" i="2"/>
  <c r="K937" i="2"/>
  <c r="J937" i="2"/>
  <c r="I937" i="2"/>
  <c r="H937" i="2"/>
  <c r="G937" i="2"/>
  <c r="F937" i="2"/>
  <c r="E937" i="2"/>
  <c r="D937" i="2"/>
  <c r="K759" i="2"/>
  <c r="J759" i="2"/>
  <c r="I759" i="2"/>
  <c r="H759" i="2"/>
  <c r="G759" i="2"/>
  <c r="F759" i="2"/>
  <c r="E759" i="2"/>
  <c r="D759" i="2"/>
  <c r="K729" i="2"/>
  <c r="J729" i="2"/>
  <c r="I729" i="2"/>
  <c r="H729" i="2"/>
  <c r="G729" i="2"/>
  <c r="F729" i="2"/>
  <c r="E729" i="2"/>
  <c r="D729" i="2"/>
  <c r="K331" i="2"/>
  <c r="J331" i="2"/>
  <c r="I331" i="2"/>
  <c r="H331" i="2"/>
  <c r="G331" i="2"/>
  <c r="F331" i="2"/>
  <c r="E331" i="2"/>
  <c r="D331" i="2"/>
  <c r="K272" i="2"/>
  <c r="J272" i="2"/>
  <c r="I272" i="2"/>
  <c r="H272" i="2"/>
  <c r="G272" i="2"/>
  <c r="F272" i="2"/>
  <c r="E272" i="2"/>
  <c r="D272" i="2"/>
  <c r="K793" i="2"/>
  <c r="J793" i="2"/>
  <c r="I793" i="2"/>
  <c r="H793" i="2"/>
  <c r="G793" i="2"/>
  <c r="F793" i="2"/>
  <c r="E793" i="2"/>
  <c r="D793" i="2"/>
  <c r="K474" i="2"/>
  <c r="J474" i="2"/>
  <c r="I474" i="2"/>
  <c r="H474" i="2"/>
  <c r="G474" i="2"/>
  <c r="F474" i="2"/>
  <c r="E474" i="2"/>
  <c r="D474" i="2"/>
  <c r="K330" i="2"/>
  <c r="J330" i="2"/>
  <c r="I330" i="2"/>
  <c r="H330" i="2"/>
  <c r="G330" i="2"/>
  <c r="F330" i="2"/>
  <c r="E330" i="2"/>
  <c r="D330" i="2"/>
  <c r="K51" i="2"/>
  <c r="J51" i="2"/>
  <c r="I51" i="2"/>
  <c r="H51" i="2"/>
  <c r="G51" i="2"/>
  <c r="F51" i="2"/>
  <c r="E51" i="2"/>
  <c r="D51" i="2"/>
  <c r="K809" i="2"/>
  <c r="J809" i="2"/>
  <c r="I809" i="2"/>
  <c r="H809" i="2"/>
  <c r="G809" i="2"/>
  <c r="F809" i="2"/>
  <c r="E809" i="2"/>
  <c r="D809" i="2"/>
  <c r="K583" i="2"/>
  <c r="J583" i="2"/>
  <c r="I583" i="2"/>
  <c r="H583" i="2"/>
  <c r="G583" i="2"/>
  <c r="F583" i="2"/>
  <c r="E583" i="2"/>
  <c r="D583" i="2"/>
  <c r="K576" i="2"/>
  <c r="J576" i="2"/>
  <c r="I576" i="2"/>
  <c r="H576" i="2"/>
  <c r="G576" i="2"/>
  <c r="F576" i="2"/>
  <c r="E576" i="2"/>
  <c r="D576" i="2"/>
  <c r="K881" i="2"/>
  <c r="J881" i="2"/>
  <c r="I881" i="2"/>
  <c r="H881" i="2"/>
  <c r="G881" i="2"/>
  <c r="F881" i="2"/>
  <c r="E881" i="2"/>
  <c r="D881" i="2"/>
  <c r="K765" i="2"/>
  <c r="J765" i="2"/>
  <c r="I765" i="2"/>
  <c r="H765" i="2"/>
  <c r="G765" i="2"/>
  <c r="F765" i="2"/>
  <c r="E765" i="2"/>
  <c r="D765" i="2"/>
  <c r="K726" i="2"/>
  <c r="J726" i="2"/>
  <c r="I726" i="2"/>
  <c r="H726" i="2"/>
  <c r="G726" i="2"/>
  <c r="F726" i="2"/>
  <c r="E726" i="2"/>
  <c r="D726" i="2"/>
  <c r="K577" i="2"/>
  <c r="J577" i="2"/>
  <c r="I577" i="2"/>
  <c r="H577" i="2"/>
  <c r="G577" i="2"/>
  <c r="F577" i="2"/>
  <c r="E577" i="2"/>
  <c r="D577" i="2"/>
  <c r="K376" i="2"/>
  <c r="J376" i="2"/>
  <c r="I376" i="2"/>
  <c r="H376" i="2"/>
  <c r="G376" i="2"/>
  <c r="F376" i="2"/>
  <c r="E376" i="2"/>
  <c r="D376" i="2"/>
  <c r="K135" i="2"/>
  <c r="J135" i="2"/>
  <c r="I135" i="2"/>
  <c r="H135" i="2"/>
  <c r="G135" i="2"/>
  <c r="F135" i="2"/>
  <c r="E135" i="2"/>
  <c r="D135" i="2"/>
  <c r="K599" i="2"/>
  <c r="J599" i="2"/>
  <c r="I599" i="2"/>
  <c r="H599" i="2"/>
  <c r="G599" i="2"/>
  <c r="F599" i="2"/>
  <c r="E599" i="2"/>
  <c r="D599" i="2"/>
  <c r="K172" i="2"/>
  <c r="J172" i="2"/>
  <c r="I172" i="2"/>
  <c r="H172" i="2"/>
  <c r="G172" i="2"/>
  <c r="F172" i="2"/>
  <c r="E172" i="2"/>
  <c r="D172" i="2"/>
  <c r="K155" i="2"/>
  <c r="J155" i="2"/>
  <c r="I155" i="2"/>
  <c r="H155" i="2"/>
  <c r="G155" i="2"/>
  <c r="F155" i="2"/>
  <c r="E155" i="2"/>
  <c r="D155" i="2"/>
  <c r="K607" i="2"/>
  <c r="J607" i="2"/>
  <c r="I607" i="2"/>
  <c r="H607" i="2"/>
  <c r="G607" i="2"/>
  <c r="F607" i="2"/>
  <c r="E607" i="2"/>
  <c r="D607" i="2"/>
  <c r="K180" i="2"/>
  <c r="J180" i="2"/>
  <c r="I180" i="2"/>
  <c r="H180" i="2"/>
  <c r="G180" i="2"/>
  <c r="F180" i="2"/>
  <c r="E180" i="2"/>
  <c r="D180" i="2"/>
  <c r="K85" i="2"/>
  <c r="J85" i="2"/>
  <c r="I85" i="2"/>
  <c r="H85" i="2"/>
  <c r="G85" i="2"/>
  <c r="F85" i="2"/>
  <c r="E85" i="2"/>
  <c r="D85" i="2"/>
  <c r="K769" i="2"/>
  <c r="J769" i="2"/>
  <c r="I769" i="2"/>
  <c r="H769" i="2"/>
  <c r="G769" i="2"/>
  <c r="F769" i="2"/>
  <c r="E769" i="2"/>
  <c r="D769" i="2"/>
  <c r="K758" i="2"/>
  <c r="J758" i="2"/>
  <c r="I758" i="2"/>
  <c r="H758" i="2"/>
  <c r="G758" i="2"/>
  <c r="F758" i="2"/>
  <c r="E758" i="2"/>
  <c r="D758" i="2"/>
  <c r="K697" i="2"/>
  <c r="J697" i="2"/>
  <c r="I697" i="2"/>
  <c r="H697" i="2"/>
  <c r="G697" i="2"/>
  <c r="F697" i="2"/>
  <c r="E697" i="2"/>
  <c r="D697" i="2"/>
  <c r="K245" i="2"/>
  <c r="J245" i="2"/>
  <c r="I245" i="2"/>
  <c r="H245" i="2"/>
  <c r="G245" i="2"/>
  <c r="F245" i="2"/>
  <c r="E245" i="2"/>
  <c r="D245" i="2"/>
  <c r="K689" i="2"/>
  <c r="J689" i="2"/>
  <c r="I689" i="2"/>
  <c r="H689" i="2"/>
  <c r="G689" i="2"/>
  <c r="F689" i="2"/>
  <c r="E689" i="2"/>
  <c r="D689" i="2"/>
  <c r="K561" i="2"/>
  <c r="J561" i="2"/>
  <c r="I561" i="2"/>
  <c r="H561" i="2"/>
  <c r="G561" i="2"/>
  <c r="F561" i="2"/>
  <c r="E561" i="2"/>
  <c r="D561" i="2"/>
  <c r="K592" i="2"/>
  <c r="J592" i="2"/>
  <c r="I592" i="2"/>
  <c r="H592" i="2"/>
  <c r="G592" i="2"/>
  <c r="F592" i="2"/>
  <c r="E592" i="2"/>
  <c r="D592" i="2"/>
  <c r="K854" i="2"/>
  <c r="J854" i="2"/>
  <c r="I854" i="2"/>
  <c r="H854" i="2"/>
  <c r="G854" i="2"/>
  <c r="F854" i="2"/>
  <c r="E854" i="2"/>
  <c r="D854" i="2"/>
  <c r="K713" i="2"/>
  <c r="J713" i="2"/>
  <c r="I713" i="2"/>
  <c r="H713" i="2"/>
  <c r="G713" i="2"/>
  <c r="F713" i="2"/>
  <c r="E713" i="2"/>
  <c r="D713" i="2"/>
  <c r="K692" i="2"/>
  <c r="J692" i="2"/>
  <c r="I692" i="2"/>
  <c r="H692" i="2"/>
  <c r="G692" i="2"/>
  <c r="F692" i="2"/>
  <c r="E692" i="2"/>
  <c r="D692" i="2"/>
  <c r="K131" i="2"/>
  <c r="J131" i="2"/>
  <c r="I131" i="2"/>
  <c r="H131" i="2"/>
  <c r="G131" i="2"/>
  <c r="F131" i="2"/>
  <c r="E131" i="2"/>
  <c r="D131" i="2"/>
  <c r="K682" i="2"/>
  <c r="J682" i="2"/>
  <c r="I682" i="2"/>
  <c r="H682" i="2"/>
  <c r="G682" i="2"/>
  <c r="F682" i="2"/>
  <c r="E682" i="2"/>
  <c r="D682" i="2"/>
  <c r="K594" i="2"/>
  <c r="J594" i="2"/>
  <c r="I594" i="2"/>
  <c r="H594" i="2"/>
  <c r="G594" i="2"/>
  <c r="F594" i="2"/>
  <c r="E594" i="2"/>
  <c r="D594" i="2"/>
  <c r="K447" i="2"/>
  <c r="J447" i="2"/>
  <c r="I447" i="2"/>
  <c r="H447" i="2"/>
  <c r="G447" i="2"/>
  <c r="F447" i="2"/>
  <c r="E447" i="2"/>
  <c r="D447" i="2"/>
  <c r="K814" i="2"/>
  <c r="J814" i="2"/>
  <c r="I814" i="2"/>
  <c r="H814" i="2"/>
  <c r="G814" i="2"/>
  <c r="F814" i="2"/>
  <c r="E814" i="2"/>
  <c r="D814" i="2"/>
  <c r="K615" i="2"/>
  <c r="J615" i="2"/>
  <c r="I615" i="2"/>
  <c r="H615" i="2"/>
  <c r="G615" i="2"/>
  <c r="F615" i="2"/>
  <c r="E615" i="2"/>
  <c r="D615" i="2"/>
  <c r="K762" i="2"/>
  <c r="J762" i="2"/>
  <c r="I762" i="2"/>
  <c r="H762" i="2"/>
  <c r="G762" i="2"/>
  <c r="F762" i="2"/>
  <c r="E762" i="2"/>
  <c r="D762" i="2"/>
  <c r="K264" i="2"/>
  <c r="J264" i="2"/>
  <c r="I264" i="2"/>
  <c r="H264" i="2"/>
  <c r="G264" i="2"/>
  <c r="F264" i="2"/>
  <c r="E264" i="2"/>
  <c r="D264" i="2"/>
  <c r="K19" i="2"/>
  <c r="J19" i="2"/>
  <c r="I19" i="2"/>
  <c r="H19" i="2"/>
  <c r="G19" i="2"/>
  <c r="F19" i="2"/>
  <c r="E19" i="2"/>
  <c r="D19" i="2"/>
  <c r="K629" i="2"/>
  <c r="J629" i="2"/>
  <c r="I629" i="2"/>
  <c r="H629" i="2"/>
  <c r="G629" i="2"/>
  <c r="F629" i="2"/>
  <c r="E629" i="2"/>
  <c r="D629" i="2"/>
  <c r="K567" i="2"/>
  <c r="J567" i="2"/>
  <c r="I567" i="2"/>
  <c r="H567" i="2"/>
  <c r="G567" i="2"/>
  <c r="F567" i="2"/>
  <c r="E567" i="2"/>
  <c r="D567" i="2"/>
  <c r="K235" i="2"/>
  <c r="J235" i="2"/>
  <c r="I235" i="2"/>
  <c r="H235" i="2"/>
  <c r="G235" i="2"/>
  <c r="F235" i="2"/>
  <c r="E235" i="2"/>
  <c r="D235" i="2"/>
  <c r="K88" i="2"/>
  <c r="J88" i="2"/>
  <c r="I88" i="2"/>
  <c r="H88" i="2"/>
  <c r="G88" i="2"/>
  <c r="F88" i="2"/>
  <c r="E88" i="2"/>
  <c r="D88" i="2"/>
  <c r="K906" i="2"/>
  <c r="J906" i="2"/>
  <c r="I906" i="2"/>
  <c r="H906" i="2"/>
  <c r="G906" i="2"/>
  <c r="F906" i="2"/>
  <c r="E906" i="2"/>
  <c r="D906" i="2"/>
  <c r="K610" i="2"/>
  <c r="J610" i="2"/>
  <c r="I610" i="2"/>
  <c r="H610" i="2"/>
  <c r="G610" i="2"/>
  <c r="F610" i="2"/>
  <c r="E610" i="2"/>
  <c r="D610" i="2"/>
  <c r="K452" i="2"/>
  <c r="J452" i="2"/>
  <c r="I452" i="2"/>
  <c r="H452" i="2"/>
  <c r="G452" i="2"/>
  <c r="F452" i="2"/>
  <c r="E452" i="2"/>
  <c r="D452" i="2"/>
  <c r="K369" i="2"/>
  <c r="J369" i="2"/>
  <c r="I369" i="2"/>
  <c r="H369" i="2"/>
  <c r="G369" i="2"/>
  <c r="F369" i="2"/>
  <c r="E369" i="2"/>
  <c r="D369" i="2"/>
  <c r="K280" i="2"/>
  <c r="J280" i="2"/>
  <c r="I280" i="2"/>
  <c r="H280" i="2"/>
  <c r="G280" i="2"/>
  <c r="F280" i="2"/>
  <c r="E280" i="2"/>
  <c r="D280" i="2"/>
  <c r="K789" i="2"/>
  <c r="J789" i="2"/>
  <c r="I789" i="2"/>
  <c r="H789" i="2"/>
  <c r="G789" i="2"/>
  <c r="F789" i="2"/>
  <c r="E789" i="2"/>
  <c r="D789" i="2"/>
  <c r="K609" i="2"/>
  <c r="J609" i="2"/>
  <c r="I609" i="2"/>
  <c r="H609" i="2"/>
  <c r="G609" i="2"/>
  <c r="F609" i="2"/>
  <c r="E609" i="2"/>
  <c r="D609" i="2"/>
  <c r="K284" i="2"/>
  <c r="J284" i="2"/>
  <c r="I284" i="2"/>
  <c r="H284" i="2"/>
  <c r="G284" i="2"/>
  <c r="F284" i="2"/>
  <c r="E284" i="2"/>
  <c r="D284" i="2"/>
  <c r="K260" i="2"/>
  <c r="J260" i="2"/>
  <c r="I260" i="2"/>
  <c r="H260" i="2"/>
  <c r="G260" i="2"/>
  <c r="F260" i="2"/>
  <c r="E260" i="2"/>
  <c r="D260" i="2"/>
  <c r="K479" i="2"/>
  <c r="J479" i="2"/>
  <c r="I479" i="2"/>
  <c r="H479" i="2"/>
  <c r="G479" i="2"/>
  <c r="F479" i="2"/>
  <c r="E479" i="2"/>
  <c r="D479" i="2"/>
  <c r="K388" i="2"/>
  <c r="J388" i="2"/>
  <c r="I388" i="2"/>
  <c r="H388" i="2"/>
  <c r="G388" i="2"/>
  <c r="F388" i="2"/>
  <c r="E388" i="2"/>
  <c r="D388" i="2"/>
  <c r="K274" i="2"/>
  <c r="J274" i="2"/>
  <c r="I274" i="2"/>
  <c r="H274" i="2"/>
  <c r="G274" i="2"/>
  <c r="F274" i="2"/>
  <c r="E274" i="2"/>
  <c r="D274" i="2"/>
  <c r="K622" i="2"/>
  <c r="J622" i="2"/>
  <c r="I622" i="2"/>
  <c r="H622" i="2"/>
  <c r="G622" i="2"/>
  <c r="F622" i="2"/>
  <c r="E622" i="2"/>
  <c r="D622" i="2"/>
  <c r="K504" i="2"/>
  <c r="J504" i="2"/>
  <c r="I504" i="2"/>
  <c r="H504" i="2"/>
  <c r="G504" i="2"/>
  <c r="F504" i="2"/>
  <c r="E504" i="2"/>
  <c r="D504" i="2"/>
  <c r="K444" i="2"/>
  <c r="J444" i="2"/>
  <c r="I444" i="2"/>
  <c r="H444" i="2"/>
  <c r="G444" i="2"/>
  <c r="F444" i="2"/>
  <c r="E444" i="2"/>
  <c r="D444" i="2"/>
  <c r="K327" i="2"/>
  <c r="J327" i="2"/>
  <c r="I327" i="2"/>
  <c r="H327" i="2"/>
  <c r="G327" i="2"/>
  <c r="F327" i="2"/>
  <c r="E327" i="2"/>
  <c r="D327" i="2"/>
  <c r="K157" i="2"/>
  <c r="J157" i="2"/>
  <c r="I157" i="2"/>
  <c r="H157" i="2"/>
  <c r="G157" i="2"/>
  <c r="F157" i="2"/>
  <c r="E157" i="2"/>
  <c r="D157" i="2"/>
  <c r="K117" i="2"/>
  <c r="J117" i="2"/>
  <c r="I117" i="2"/>
  <c r="H117" i="2"/>
  <c r="G117" i="2"/>
  <c r="F117" i="2"/>
  <c r="E117" i="2"/>
  <c r="D117" i="2"/>
  <c r="K730" i="2"/>
  <c r="J730" i="2"/>
  <c r="I730" i="2"/>
  <c r="H730" i="2"/>
  <c r="G730" i="2"/>
  <c r="F730" i="2"/>
  <c r="E730" i="2"/>
  <c r="D730" i="2"/>
  <c r="K637" i="2"/>
  <c r="J637" i="2"/>
  <c r="I637" i="2"/>
  <c r="H637" i="2"/>
  <c r="G637" i="2"/>
  <c r="F637" i="2"/>
  <c r="E637" i="2"/>
  <c r="D637" i="2"/>
  <c r="K11" i="2"/>
  <c r="J11" i="2"/>
  <c r="I11" i="2"/>
  <c r="H11" i="2"/>
  <c r="G11" i="2"/>
  <c r="F11" i="2"/>
  <c r="E11" i="2"/>
  <c r="D11" i="2"/>
  <c r="K1539" i="2"/>
  <c r="J1539" i="2"/>
  <c r="I1539" i="2"/>
  <c r="H1539" i="2"/>
  <c r="G1539" i="2"/>
  <c r="F1539" i="2"/>
  <c r="E1539" i="2"/>
  <c r="D1539" i="2"/>
  <c r="K913" i="2"/>
  <c r="J913" i="2"/>
  <c r="I913" i="2"/>
  <c r="H913" i="2"/>
  <c r="G913" i="2"/>
  <c r="F913" i="2"/>
  <c r="E913" i="2"/>
  <c r="D913" i="2"/>
  <c r="K675" i="2"/>
  <c r="J675" i="2"/>
  <c r="I675" i="2"/>
  <c r="H675" i="2"/>
  <c r="G675" i="2"/>
  <c r="F675" i="2"/>
  <c r="E675" i="2"/>
  <c r="D675" i="2"/>
  <c r="K663" i="2"/>
  <c r="J663" i="2"/>
  <c r="I663" i="2"/>
  <c r="H663" i="2"/>
  <c r="G663" i="2"/>
  <c r="F663" i="2"/>
  <c r="E663" i="2"/>
  <c r="D663" i="2"/>
  <c r="K465" i="2"/>
  <c r="J465" i="2"/>
  <c r="I465" i="2"/>
  <c r="H465" i="2"/>
  <c r="G465" i="2"/>
  <c r="F465" i="2"/>
  <c r="E465" i="2"/>
  <c r="D465" i="2"/>
  <c r="K302" i="2"/>
  <c r="J302" i="2"/>
  <c r="I302" i="2"/>
  <c r="H302" i="2"/>
  <c r="G302" i="2"/>
  <c r="F302" i="2"/>
  <c r="E302" i="2"/>
  <c r="D302" i="2"/>
  <c r="K346" i="2"/>
  <c r="J346" i="2"/>
  <c r="I346" i="2"/>
  <c r="H346" i="2"/>
  <c r="G346" i="2"/>
  <c r="F346" i="2"/>
  <c r="E346" i="2"/>
  <c r="D346" i="2"/>
  <c r="K553" i="2"/>
  <c r="J553" i="2"/>
  <c r="I553" i="2"/>
  <c r="H553" i="2"/>
  <c r="G553" i="2"/>
  <c r="F553" i="2"/>
  <c r="E553" i="2"/>
  <c r="D553" i="2"/>
  <c r="K314" i="2"/>
  <c r="J314" i="2"/>
  <c r="I314" i="2"/>
  <c r="H314" i="2"/>
  <c r="G314" i="2"/>
  <c r="F314" i="2"/>
  <c r="E314" i="2"/>
  <c r="D314" i="2"/>
  <c r="K154" i="2"/>
  <c r="J154" i="2"/>
  <c r="I154" i="2"/>
  <c r="H154" i="2"/>
  <c r="G154" i="2"/>
  <c r="F154" i="2"/>
  <c r="E154" i="2"/>
  <c r="D154" i="2"/>
  <c r="K518" i="2"/>
  <c r="J518" i="2"/>
  <c r="I518" i="2"/>
  <c r="H518" i="2"/>
  <c r="G518" i="2"/>
  <c r="F518" i="2"/>
  <c r="E518" i="2"/>
  <c r="D518" i="2"/>
  <c r="K498" i="2"/>
  <c r="J498" i="2"/>
  <c r="I498" i="2"/>
  <c r="H498" i="2"/>
  <c r="G498" i="2"/>
  <c r="F498" i="2"/>
  <c r="E498" i="2"/>
  <c r="D498" i="2"/>
  <c r="K1570" i="2"/>
  <c r="J1570" i="2"/>
  <c r="I1570" i="2"/>
  <c r="H1570" i="2"/>
  <c r="G1570" i="2"/>
  <c r="F1570" i="2"/>
  <c r="E1570" i="2"/>
  <c r="D1570" i="2"/>
  <c r="K860" i="2"/>
  <c r="J860" i="2"/>
  <c r="I860" i="2"/>
  <c r="H860" i="2"/>
  <c r="G860" i="2"/>
  <c r="F860" i="2"/>
  <c r="E860" i="2"/>
  <c r="D860" i="2"/>
  <c r="K828" i="2"/>
  <c r="J828" i="2"/>
  <c r="I828" i="2"/>
  <c r="H828" i="2"/>
  <c r="G828" i="2"/>
  <c r="F828" i="2"/>
  <c r="E828" i="2"/>
  <c r="D828" i="2"/>
  <c r="K755" i="2"/>
  <c r="J755" i="2"/>
  <c r="I755" i="2"/>
  <c r="H755" i="2"/>
  <c r="G755" i="2"/>
  <c r="F755" i="2"/>
  <c r="E755" i="2"/>
  <c r="D755" i="2"/>
  <c r="K688" i="2"/>
  <c r="J688" i="2"/>
  <c r="I688" i="2"/>
  <c r="H688" i="2"/>
  <c r="G688" i="2"/>
  <c r="F688" i="2"/>
  <c r="E688" i="2"/>
  <c r="D688" i="2"/>
  <c r="K340" i="2"/>
  <c r="J340" i="2"/>
  <c r="I340" i="2"/>
  <c r="H340" i="2"/>
  <c r="G340" i="2"/>
  <c r="F340" i="2"/>
  <c r="E340" i="2"/>
  <c r="D340" i="2"/>
  <c r="K774" i="2"/>
  <c r="J774" i="2"/>
  <c r="I774" i="2"/>
  <c r="H774" i="2"/>
  <c r="G774" i="2"/>
  <c r="F774" i="2"/>
  <c r="E774" i="2"/>
  <c r="D774" i="2"/>
  <c r="K753" i="2"/>
  <c r="J753" i="2"/>
  <c r="I753" i="2"/>
  <c r="H753" i="2"/>
  <c r="G753" i="2"/>
  <c r="F753" i="2"/>
  <c r="E753" i="2"/>
  <c r="D753" i="2"/>
  <c r="K716" i="2"/>
  <c r="J716" i="2"/>
  <c r="I716" i="2"/>
  <c r="H716" i="2"/>
  <c r="G716" i="2"/>
  <c r="F716" i="2"/>
  <c r="E716" i="2"/>
  <c r="D716" i="2"/>
  <c r="K406" i="2"/>
  <c r="J406" i="2"/>
  <c r="I406" i="2"/>
  <c r="H406" i="2"/>
  <c r="G406" i="2"/>
  <c r="F406" i="2"/>
  <c r="E406" i="2"/>
  <c r="D406" i="2"/>
  <c r="K308" i="2"/>
  <c r="J308" i="2"/>
  <c r="I308" i="2"/>
  <c r="H308" i="2"/>
  <c r="G308" i="2"/>
  <c r="F308" i="2"/>
  <c r="E308" i="2"/>
  <c r="D308" i="2"/>
  <c r="K300" i="2"/>
  <c r="J300" i="2"/>
  <c r="I300" i="2"/>
  <c r="H300" i="2"/>
  <c r="G300" i="2"/>
  <c r="F300" i="2"/>
  <c r="E300" i="2"/>
  <c r="D300" i="2"/>
  <c r="K898" i="2"/>
  <c r="J898" i="2"/>
  <c r="I898" i="2"/>
  <c r="H898" i="2"/>
  <c r="G898" i="2"/>
  <c r="F898" i="2"/>
  <c r="E898" i="2"/>
  <c r="D898" i="2"/>
  <c r="K819" i="2"/>
  <c r="J819" i="2"/>
  <c r="I819" i="2"/>
  <c r="H819" i="2"/>
  <c r="G819" i="2"/>
  <c r="F819" i="2"/>
  <c r="E819" i="2"/>
  <c r="D819" i="2"/>
  <c r="K744" i="2"/>
  <c r="J744" i="2"/>
  <c r="I744" i="2"/>
  <c r="H744" i="2"/>
  <c r="G744" i="2"/>
  <c r="F744" i="2"/>
  <c r="E744" i="2"/>
  <c r="D744" i="2"/>
  <c r="K700" i="2"/>
  <c r="J700" i="2"/>
  <c r="I700" i="2"/>
  <c r="H700" i="2"/>
  <c r="G700" i="2"/>
  <c r="F700" i="2"/>
  <c r="E700" i="2"/>
  <c r="D700" i="2"/>
  <c r="K558" i="2"/>
  <c r="J558" i="2"/>
  <c r="I558" i="2"/>
  <c r="H558" i="2"/>
  <c r="G558" i="2"/>
  <c r="F558" i="2"/>
  <c r="E558" i="2"/>
  <c r="D558" i="2"/>
  <c r="K490" i="2"/>
  <c r="J490" i="2"/>
  <c r="I490" i="2"/>
  <c r="H490" i="2"/>
  <c r="G490" i="2"/>
  <c r="I525" i="2"/>
  <c r="H525" i="2"/>
  <c r="G525" i="2"/>
  <c r="F525" i="2"/>
  <c r="E525" i="2"/>
  <c r="D525" i="2"/>
  <c r="K482" i="2"/>
  <c r="J482" i="2"/>
  <c r="I482" i="2"/>
  <c r="H482" i="2"/>
  <c r="G482" i="2"/>
  <c r="F482" i="2"/>
  <c r="E482" i="2"/>
  <c r="D482" i="2"/>
  <c r="K570" i="2"/>
  <c r="J570" i="2"/>
  <c r="I570" i="2"/>
  <c r="H570" i="2"/>
  <c r="G570" i="2"/>
  <c r="F570" i="2"/>
  <c r="E570" i="2"/>
  <c r="D570" i="2"/>
  <c r="K499" i="2"/>
  <c r="J499" i="2"/>
  <c r="I499" i="2"/>
  <c r="H499" i="2"/>
  <c r="G499" i="2"/>
  <c r="F499" i="2"/>
  <c r="E499" i="2"/>
  <c r="D499" i="2"/>
  <c r="K945" i="2"/>
  <c r="J945" i="2"/>
  <c r="I945" i="2"/>
  <c r="H945" i="2"/>
  <c r="G945" i="2"/>
  <c r="F945" i="2"/>
  <c r="E945" i="2"/>
  <c r="D945" i="2"/>
  <c r="K875" i="2"/>
  <c r="J875" i="2"/>
  <c r="I875" i="2"/>
  <c r="H875" i="2"/>
  <c r="G875" i="2"/>
  <c r="F875" i="2"/>
  <c r="E875" i="2"/>
  <c r="D875" i="2"/>
  <c r="K837" i="2"/>
  <c r="J837" i="2"/>
  <c r="I837" i="2"/>
  <c r="H837" i="2"/>
  <c r="G837" i="2"/>
  <c r="F837" i="2"/>
  <c r="E837" i="2"/>
  <c r="D837" i="2"/>
  <c r="K684" i="2"/>
  <c r="J684" i="2"/>
  <c r="I684" i="2"/>
  <c r="H684" i="2"/>
  <c r="G684" i="2"/>
  <c r="F684" i="2"/>
  <c r="E684" i="2"/>
  <c r="D684" i="2"/>
  <c r="K907" i="2"/>
  <c r="J907" i="2"/>
  <c r="I907" i="2"/>
  <c r="H907" i="2"/>
  <c r="G907" i="2"/>
  <c r="F907" i="2"/>
  <c r="E907" i="2"/>
  <c r="D907" i="2"/>
  <c r="K569" i="2"/>
  <c r="J569" i="2"/>
  <c r="I569" i="2"/>
  <c r="H569" i="2"/>
  <c r="G569" i="2"/>
  <c r="F569" i="2"/>
  <c r="E569" i="2"/>
  <c r="D569" i="2"/>
  <c r="K354" i="2"/>
  <c r="J354" i="2"/>
  <c r="I354" i="2"/>
  <c r="H354" i="2"/>
  <c r="G354" i="2"/>
  <c r="F354" i="2"/>
  <c r="E354" i="2"/>
  <c r="D354" i="2"/>
  <c r="K855" i="2"/>
  <c r="J855" i="2"/>
  <c r="I855" i="2"/>
  <c r="H855" i="2"/>
  <c r="G855" i="2"/>
  <c r="F855" i="2"/>
  <c r="E855" i="2"/>
  <c r="D855" i="2"/>
  <c r="K833" i="2"/>
  <c r="J833" i="2"/>
  <c r="I833" i="2"/>
  <c r="H833" i="2"/>
  <c r="G833" i="2"/>
  <c r="F833" i="2"/>
  <c r="E833" i="2"/>
  <c r="D833" i="2"/>
  <c r="K448" i="2"/>
  <c r="J448" i="2"/>
  <c r="I448" i="2"/>
  <c r="H448" i="2"/>
  <c r="G448" i="2"/>
  <c r="F448" i="2"/>
  <c r="E448" i="2"/>
  <c r="D448" i="2"/>
  <c r="K277" i="2"/>
  <c r="J277" i="2"/>
  <c r="I277" i="2"/>
  <c r="H277" i="2"/>
  <c r="G277" i="2"/>
  <c r="F277" i="2"/>
  <c r="E277" i="2"/>
  <c r="D277" i="2"/>
  <c r="K273" i="2"/>
  <c r="J273" i="2"/>
  <c r="I273" i="2"/>
  <c r="H273" i="2"/>
  <c r="G273" i="2"/>
  <c r="F273" i="2"/>
  <c r="E273" i="2"/>
  <c r="D273" i="2"/>
  <c r="K795" i="2"/>
  <c r="J795" i="2"/>
  <c r="I795" i="2"/>
  <c r="H795" i="2"/>
  <c r="G795" i="2"/>
  <c r="F795" i="2"/>
  <c r="E795" i="2"/>
  <c r="D795" i="2"/>
  <c r="K207" i="2"/>
  <c r="J207" i="2"/>
  <c r="I207" i="2"/>
  <c r="H207" i="2"/>
  <c r="G207" i="2"/>
  <c r="F207" i="2"/>
  <c r="E207" i="2"/>
  <c r="D207" i="2"/>
  <c r="K679" i="2"/>
  <c r="J679" i="2"/>
  <c r="I679" i="2"/>
  <c r="H679" i="2"/>
  <c r="G679" i="2"/>
  <c r="F679" i="2"/>
  <c r="E679" i="2"/>
  <c r="D679" i="2"/>
  <c r="K445" i="2"/>
  <c r="J445" i="2"/>
  <c r="I445" i="2"/>
  <c r="H445" i="2"/>
  <c r="G445" i="2"/>
  <c r="F445" i="2"/>
  <c r="E445" i="2"/>
  <c r="D445" i="2"/>
  <c r="K443" i="2"/>
  <c r="J443" i="2"/>
  <c r="I443" i="2"/>
  <c r="H443" i="2"/>
  <c r="G443" i="2"/>
  <c r="F443" i="2"/>
  <c r="E443" i="2"/>
  <c r="D443" i="2"/>
  <c r="K647" i="2"/>
  <c r="J647" i="2"/>
  <c r="I647" i="2"/>
  <c r="H647" i="2"/>
  <c r="G647" i="2"/>
  <c r="F647" i="2"/>
  <c r="E647" i="2"/>
  <c r="D647" i="2"/>
  <c r="K616" i="2"/>
  <c r="J616" i="2"/>
  <c r="I616" i="2"/>
  <c r="H616" i="2"/>
  <c r="G616" i="2"/>
  <c r="F616" i="2"/>
  <c r="E616" i="2"/>
  <c r="D616" i="2"/>
  <c r="K575" i="2"/>
  <c r="J575" i="2"/>
  <c r="I575" i="2"/>
  <c r="H575" i="2"/>
  <c r="G575" i="2"/>
  <c r="F575" i="2"/>
  <c r="E575" i="2"/>
  <c r="D575" i="2"/>
  <c r="K497" i="2"/>
  <c r="J497" i="2"/>
  <c r="I497" i="2"/>
  <c r="H497" i="2"/>
  <c r="G497" i="2"/>
  <c r="F497" i="2"/>
  <c r="E497" i="2"/>
  <c r="D497" i="2"/>
  <c r="K407" i="2"/>
  <c r="J407" i="2"/>
  <c r="I407" i="2"/>
  <c r="H407" i="2"/>
  <c r="G407" i="2"/>
  <c r="F407" i="2"/>
  <c r="E407" i="2"/>
  <c r="D407" i="2"/>
  <c r="K163" i="2"/>
  <c r="J163" i="2"/>
  <c r="I163" i="2"/>
  <c r="H163" i="2"/>
  <c r="G163" i="2"/>
  <c r="F163" i="2"/>
  <c r="E163" i="2"/>
  <c r="D163" i="2"/>
  <c r="K848" i="2"/>
  <c r="J848" i="2"/>
  <c r="I848" i="2"/>
  <c r="H848" i="2"/>
  <c r="G848" i="2"/>
  <c r="F848" i="2"/>
  <c r="E848" i="2"/>
  <c r="D848" i="2"/>
  <c r="K669" i="2"/>
  <c r="J669" i="2"/>
  <c r="I669" i="2"/>
  <c r="H669" i="2"/>
  <c r="G669" i="2"/>
  <c r="F669" i="2"/>
  <c r="E669" i="2"/>
  <c r="D669" i="2"/>
  <c r="K486" i="2"/>
  <c r="J486" i="2"/>
  <c r="I486" i="2"/>
  <c r="H486" i="2"/>
  <c r="G486" i="2"/>
  <c r="F486" i="2"/>
  <c r="E486" i="2"/>
  <c r="D486" i="2"/>
  <c r="K472" i="2"/>
  <c r="J472" i="2"/>
  <c r="I472" i="2"/>
  <c r="H472" i="2"/>
  <c r="G472" i="2"/>
  <c r="F472" i="2"/>
  <c r="E472" i="2"/>
  <c r="D472" i="2"/>
  <c r="K318" i="2"/>
  <c r="J318" i="2"/>
  <c r="I318" i="2"/>
  <c r="H318" i="2"/>
  <c r="G318" i="2"/>
  <c r="F318" i="2"/>
  <c r="E318" i="2"/>
  <c r="D318" i="2"/>
  <c r="K771" i="2"/>
  <c r="J771" i="2"/>
  <c r="I771" i="2"/>
  <c r="H771" i="2"/>
  <c r="G771" i="2"/>
  <c r="F771" i="2"/>
  <c r="E771" i="2"/>
  <c r="D771" i="2"/>
  <c r="K319" i="2"/>
  <c r="J319" i="2"/>
  <c r="I319" i="2"/>
  <c r="H319" i="2"/>
  <c r="G319" i="2"/>
  <c r="F319" i="2"/>
  <c r="E319" i="2"/>
  <c r="D319" i="2"/>
  <c r="K34" i="2"/>
  <c r="J34" i="2"/>
  <c r="I34" i="2"/>
  <c r="H34" i="2"/>
  <c r="G34" i="2"/>
  <c r="F34" i="2"/>
  <c r="E34" i="2"/>
  <c r="D34" i="2"/>
  <c r="K642" i="2"/>
  <c r="J642" i="2"/>
  <c r="I642" i="2"/>
  <c r="H642" i="2"/>
  <c r="G642" i="2"/>
  <c r="F642" i="2"/>
  <c r="E642" i="2"/>
  <c r="D642" i="2"/>
  <c r="K770" i="2"/>
  <c r="J770" i="2"/>
  <c r="I770" i="2"/>
  <c r="H770" i="2"/>
  <c r="G770" i="2"/>
  <c r="F770" i="2"/>
  <c r="E770" i="2"/>
  <c r="D770" i="2"/>
  <c r="K306" i="2"/>
  <c r="J306" i="2"/>
  <c r="I306" i="2"/>
  <c r="H306" i="2"/>
  <c r="G306" i="2"/>
  <c r="F306" i="2"/>
  <c r="E306" i="2"/>
  <c r="D306" i="2"/>
  <c r="K298" i="2"/>
  <c r="J298" i="2"/>
  <c r="I298" i="2"/>
  <c r="H298" i="2"/>
  <c r="G298" i="2"/>
  <c r="F298" i="2"/>
  <c r="E298" i="2"/>
  <c r="D298" i="2"/>
  <c r="K147" i="2"/>
  <c r="J147" i="2"/>
  <c r="I147" i="2"/>
  <c r="H147" i="2"/>
  <c r="G147" i="2"/>
  <c r="F147" i="2"/>
  <c r="E147" i="2"/>
  <c r="D147" i="2"/>
  <c r="K864" i="2"/>
  <c r="J864" i="2"/>
  <c r="I864" i="2"/>
  <c r="H864" i="2"/>
  <c r="G864" i="2"/>
  <c r="F864" i="2"/>
  <c r="E864" i="2"/>
  <c r="D864" i="2"/>
  <c r="K856" i="2"/>
  <c r="J856" i="2"/>
  <c r="I856" i="2"/>
  <c r="H856" i="2"/>
  <c r="G856" i="2"/>
  <c r="F856" i="2"/>
  <c r="E856" i="2"/>
  <c r="D856" i="2"/>
  <c r="K939" i="2"/>
  <c r="J939" i="2"/>
  <c r="I939" i="2"/>
  <c r="H939" i="2"/>
  <c r="G939" i="2"/>
  <c r="F939" i="2"/>
  <c r="E939" i="2"/>
  <c r="D939" i="2"/>
  <c r="K545" i="2"/>
  <c r="J545" i="2"/>
  <c r="I545" i="2"/>
  <c r="H545" i="2"/>
  <c r="G545" i="2"/>
  <c r="F545" i="2"/>
  <c r="E545" i="2"/>
  <c r="D545" i="2"/>
  <c r="K649" i="2"/>
  <c r="J649" i="2"/>
  <c r="I649" i="2"/>
  <c r="H649" i="2"/>
  <c r="G649" i="2"/>
  <c r="F649" i="2"/>
  <c r="E649" i="2"/>
  <c r="D649" i="2"/>
  <c r="K265" i="2"/>
  <c r="J265" i="2"/>
  <c r="I265" i="2"/>
  <c r="H265" i="2"/>
  <c r="G265" i="2"/>
  <c r="F265" i="2"/>
  <c r="E265" i="2"/>
  <c r="D265" i="2"/>
  <c r="K141" i="2"/>
  <c r="J141" i="2"/>
  <c r="I141" i="2"/>
  <c r="H141" i="2"/>
  <c r="G141" i="2"/>
  <c r="F141" i="2"/>
  <c r="E141" i="2"/>
  <c r="D141" i="2"/>
  <c r="K752" i="2"/>
  <c r="J752" i="2"/>
  <c r="I752" i="2"/>
  <c r="H752" i="2"/>
  <c r="G752" i="2"/>
  <c r="F752" i="2"/>
  <c r="E752" i="2"/>
  <c r="D752" i="2"/>
  <c r="K453" i="2"/>
  <c r="J453" i="2"/>
  <c r="I453" i="2"/>
  <c r="H453" i="2"/>
  <c r="G453" i="2"/>
  <c r="F453" i="2"/>
  <c r="E453" i="2"/>
  <c r="D453" i="2"/>
  <c r="K216" i="2"/>
  <c r="J216" i="2"/>
  <c r="I216" i="2"/>
  <c r="H216" i="2"/>
  <c r="G216" i="2"/>
  <c r="F216" i="2"/>
  <c r="E216" i="2"/>
  <c r="D216" i="2"/>
  <c r="K792" i="2"/>
  <c r="J792" i="2"/>
  <c r="I792" i="2"/>
  <c r="H792" i="2"/>
  <c r="G792" i="2"/>
  <c r="F792" i="2"/>
  <c r="E792" i="2"/>
  <c r="D792" i="2"/>
  <c r="K299" i="2"/>
  <c r="J299" i="2"/>
  <c r="I299" i="2"/>
  <c r="H299" i="2"/>
  <c r="G299" i="2"/>
  <c r="F299" i="2"/>
  <c r="E299" i="2"/>
  <c r="D299" i="2"/>
  <c r="K129" i="2"/>
  <c r="J129" i="2"/>
  <c r="I129" i="2"/>
  <c r="H129" i="2"/>
  <c r="G129" i="2"/>
  <c r="F129" i="2"/>
  <c r="E129" i="2"/>
  <c r="D129" i="2"/>
  <c r="K851" i="2"/>
  <c r="J851" i="2"/>
  <c r="I851" i="2"/>
  <c r="H851" i="2"/>
  <c r="G851" i="2"/>
  <c r="F851" i="2"/>
  <c r="E851" i="2"/>
  <c r="D851" i="2"/>
  <c r="K768" i="2"/>
  <c r="J768" i="2"/>
  <c r="I768" i="2"/>
  <c r="H768" i="2"/>
  <c r="G768" i="2"/>
  <c r="F768" i="2"/>
  <c r="E768" i="2"/>
  <c r="D768" i="2"/>
  <c r="K638" i="2"/>
  <c r="J638" i="2"/>
  <c r="I638" i="2"/>
  <c r="H638" i="2"/>
  <c r="G638" i="2"/>
  <c r="F638" i="2"/>
  <c r="E638" i="2"/>
  <c r="D638" i="2"/>
  <c r="K495" i="2"/>
  <c r="J495" i="2"/>
  <c r="I495" i="2"/>
  <c r="H495" i="2"/>
  <c r="G495" i="2"/>
  <c r="F495" i="2"/>
  <c r="E495" i="2"/>
  <c r="D495" i="2"/>
  <c r="K224" i="2"/>
  <c r="J224" i="2"/>
  <c r="I224" i="2"/>
  <c r="H224" i="2"/>
  <c r="G224" i="2"/>
  <c r="F224" i="2"/>
  <c r="E224" i="2"/>
  <c r="D224" i="2"/>
  <c r="K879" i="2"/>
  <c r="J879" i="2"/>
  <c r="I879" i="2"/>
  <c r="H879" i="2"/>
  <c r="G879" i="2"/>
  <c r="F879" i="2"/>
  <c r="E879" i="2"/>
  <c r="D879" i="2"/>
  <c r="K720" i="2"/>
  <c r="J720" i="2"/>
  <c r="I720" i="2"/>
  <c r="H720" i="2"/>
  <c r="G720" i="2"/>
  <c r="F720" i="2"/>
  <c r="E720" i="2"/>
  <c r="D720" i="2"/>
  <c r="K115" i="2"/>
  <c r="J115" i="2"/>
  <c r="I115" i="2"/>
  <c r="H115" i="2"/>
  <c r="G115" i="2"/>
  <c r="F115" i="2"/>
  <c r="E115" i="2"/>
  <c r="D115" i="2"/>
  <c r="K846" i="2"/>
  <c r="J846" i="2"/>
  <c r="I846" i="2"/>
  <c r="H846" i="2"/>
  <c r="G846" i="2"/>
  <c r="F846" i="2"/>
  <c r="E846" i="2"/>
  <c r="D846" i="2"/>
  <c r="K639" i="2"/>
  <c r="J639" i="2"/>
  <c r="I639" i="2"/>
  <c r="H639" i="2"/>
  <c r="G639" i="2"/>
  <c r="F639" i="2"/>
  <c r="E639" i="2"/>
  <c r="D639" i="2"/>
  <c r="K250" i="2"/>
  <c r="J250" i="2"/>
  <c r="I250" i="2"/>
  <c r="H250" i="2"/>
  <c r="G250" i="2"/>
  <c r="F250" i="2"/>
  <c r="E250" i="2"/>
  <c r="D250" i="2"/>
  <c r="K944" i="2"/>
  <c r="J944" i="2"/>
  <c r="I944" i="2"/>
  <c r="H944" i="2"/>
  <c r="G944" i="2"/>
  <c r="F944" i="2"/>
  <c r="E944" i="2"/>
  <c r="D944" i="2"/>
  <c r="K867" i="2"/>
  <c r="J867" i="2"/>
  <c r="I867" i="2"/>
  <c r="H867" i="2"/>
  <c r="G867" i="2"/>
  <c r="F867" i="2"/>
  <c r="E867" i="2"/>
  <c r="D867" i="2"/>
  <c r="K815" i="2"/>
  <c r="J815" i="2"/>
  <c r="I815" i="2"/>
  <c r="H815" i="2"/>
  <c r="G815" i="2"/>
  <c r="F815" i="2"/>
  <c r="E815" i="2"/>
  <c r="D815" i="2"/>
  <c r="K563" i="2"/>
  <c r="J563" i="2"/>
  <c r="I563" i="2"/>
  <c r="H563" i="2"/>
  <c r="G563" i="2"/>
  <c r="F563" i="2"/>
  <c r="E563" i="2"/>
  <c r="D563" i="2"/>
  <c r="K339" i="2"/>
  <c r="J339" i="2"/>
  <c r="I339" i="2"/>
  <c r="H339" i="2"/>
  <c r="G339" i="2"/>
  <c r="F339" i="2"/>
  <c r="E339" i="2"/>
  <c r="D339" i="2"/>
  <c r="K307" i="2"/>
  <c r="J307" i="2"/>
  <c r="I307" i="2"/>
  <c r="H307" i="2"/>
  <c r="G307" i="2"/>
  <c r="F307" i="2"/>
  <c r="E307" i="2"/>
  <c r="D307" i="2"/>
  <c r="K487" i="2"/>
  <c r="J487" i="2"/>
  <c r="I487" i="2"/>
  <c r="H487" i="2"/>
  <c r="G487" i="2"/>
  <c r="F487" i="2"/>
  <c r="E487" i="2"/>
  <c r="D487" i="2"/>
  <c r="K674" i="2"/>
  <c r="J674" i="2"/>
  <c r="I674" i="2"/>
  <c r="H674" i="2"/>
  <c r="G674" i="2"/>
  <c r="F674" i="2"/>
  <c r="E674" i="2"/>
  <c r="D674" i="2"/>
  <c r="K527" i="2"/>
  <c r="J527" i="2"/>
  <c r="I527" i="2"/>
  <c r="H527" i="2"/>
  <c r="G527" i="2"/>
  <c r="F527" i="2"/>
  <c r="E527" i="2"/>
  <c r="D527" i="2"/>
  <c r="K145" i="2"/>
  <c r="J145" i="2"/>
  <c r="I145" i="2"/>
  <c r="H145" i="2"/>
  <c r="G145" i="2"/>
  <c r="F145" i="2"/>
  <c r="E145" i="2"/>
  <c r="D145" i="2"/>
  <c r="K522" i="2"/>
  <c r="J522" i="2"/>
  <c r="I522" i="2"/>
  <c r="H522" i="2"/>
  <c r="G522" i="2"/>
  <c r="F522" i="2"/>
  <c r="E522" i="2"/>
  <c r="D522" i="2"/>
  <c r="K185" i="2"/>
  <c r="J185" i="2"/>
  <c r="I185" i="2"/>
  <c r="H185" i="2"/>
  <c r="G185" i="2"/>
  <c r="F185" i="2"/>
  <c r="E185" i="2"/>
  <c r="D185" i="2"/>
  <c r="K849" i="2"/>
  <c r="J849" i="2"/>
  <c r="I849" i="2"/>
  <c r="H849" i="2"/>
  <c r="G849" i="2"/>
  <c r="F849" i="2"/>
  <c r="E849" i="2"/>
  <c r="D849" i="2"/>
  <c r="K754" i="2"/>
  <c r="J754" i="2"/>
  <c r="I754" i="2"/>
  <c r="H754" i="2"/>
  <c r="G754" i="2"/>
  <c r="F754" i="2"/>
  <c r="E754" i="2"/>
  <c r="D754" i="2"/>
  <c r="K922" i="2"/>
  <c r="J922" i="2"/>
  <c r="I922" i="2"/>
  <c r="H922" i="2"/>
  <c r="G922" i="2"/>
  <c r="F922" i="2"/>
  <c r="E922" i="2"/>
  <c r="D922" i="2"/>
  <c r="K588" i="2"/>
  <c r="J588" i="2"/>
  <c r="I588" i="2"/>
  <c r="H588" i="2"/>
  <c r="G588" i="2"/>
  <c r="F588" i="2"/>
  <c r="E588" i="2"/>
  <c r="D588" i="2"/>
  <c r="K322" i="2"/>
  <c r="J322" i="2"/>
  <c r="I322" i="2"/>
  <c r="H322" i="2"/>
  <c r="G322" i="2"/>
  <c r="F322" i="2"/>
  <c r="E322" i="2"/>
  <c r="D322" i="2"/>
  <c r="K291" i="2"/>
  <c r="J291" i="2"/>
  <c r="I291" i="2"/>
  <c r="H291" i="2"/>
  <c r="G291" i="2"/>
  <c r="F291" i="2"/>
  <c r="E291" i="2"/>
  <c r="D291" i="2"/>
  <c r="K408" i="2"/>
  <c r="J408" i="2"/>
  <c r="I408" i="2"/>
  <c r="H408" i="2"/>
  <c r="G408" i="2"/>
  <c r="F408" i="2"/>
  <c r="E408" i="2"/>
  <c r="D408" i="2"/>
  <c r="K251" i="2"/>
  <c r="J251" i="2"/>
  <c r="I251" i="2"/>
  <c r="H251" i="2"/>
  <c r="G251" i="2"/>
  <c r="F251" i="2"/>
  <c r="E251" i="2"/>
  <c r="D251" i="2"/>
  <c r="K223" i="2"/>
  <c r="J223" i="2"/>
  <c r="I223" i="2"/>
  <c r="H223" i="2"/>
  <c r="G223" i="2"/>
  <c r="F223" i="2"/>
  <c r="E223" i="2"/>
  <c r="D223" i="2"/>
  <c r="K243" i="2"/>
  <c r="J243" i="2"/>
  <c r="I243" i="2"/>
  <c r="H243" i="2"/>
  <c r="G243" i="2"/>
  <c r="F243" i="2"/>
  <c r="E243" i="2"/>
  <c r="D243" i="2"/>
  <c r="K111" i="2"/>
  <c r="J111" i="2"/>
  <c r="I111" i="2"/>
  <c r="H111" i="2"/>
  <c r="G111" i="2"/>
  <c r="F111" i="2"/>
  <c r="E111" i="2"/>
  <c r="D111" i="2"/>
  <c r="K827" i="2"/>
  <c r="J827" i="2"/>
  <c r="I827" i="2"/>
  <c r="H827" i="2"/>
  <c r="G827" i="2"/>
  <c r="F827" i="2"/>
  <c r="E827" i="2"/>
  <c r="D827" i="2"/>
  <c r="K534" i="2"/>
  <c r="J534" i="2"/>
  <c r="I534" i="2"/>
  <c r="H534" i="2"/>
  <c r="G534" i="2"/>
  <c r="F534" i="2"/>
  <c r="E534" i="2"/>
  <c r="D534" i="2"/>
  <c r="K911" i="2"/>
  <c r="J911" i="2"/>
  <c r="I911" i="2"/>
  <c r="H911" i="2"/>
  <c r="G911" i="2"/>
  <c r="F911" i="2"/>
  <c r="E911" i="2"/>
  <c r="D911" i="2"/>
  <c r="K743" i="2"/>
  <c r="J743" i="2"/>
  <c r="I743" i="2"/>
  <c r="H743" i="2"/>
  <c r="G743" i="2"/>
  <c r="F743" i="2"/>
  <c r="E743" i="2"/>
  <c r="D743" i="2"/>
  <c r="K353" i="2"/>
  <c r="J353" i="2"/>
  <c r="I353" i="2"/>
  <c r="H353" i="2"/>
  <c r="G353" i="2"/>
  <c r="F353" i="2"/>
  <c r="E353" i="2"/>
  <c r="D353" i="2"/>
  <c r="K95" i="2"/>
  <c r="J95" i="2"/>
  <c r="I95" i="2"/>
  <c r="H95" i="2"/>
  <c r="G95" i="2"/>
  <c r="F95" i="2"/>
  <c r="E95" i="2"/>
  <c r="D95" i="2"/>
  <c r="K262" i="2"/>
  <c r="J262" i="2"/>
  <c r="I262" i="2"/>
  <c r="H262" i="2"/>
  <c r="G262" i="2"/>
  <c r="F262" i="2"/>
  <c r="E262" i="2"/>
  <c r="D262" i="2"/>
  <c r="K234" i="2"/>
  <c r="J234" i="2"/>
  <c r="I234" i="2"/>
  <c r="H234" i="2"/>
  <c r="G234" i="2"/>
  <c r="F234" i="2"/>
  <c r="E234" i="2"/>
  <c r="D234" i="2"/>
  <c r="K177" i="2"/>
  <c r="J177" i="2"/>
  <c r="I177" i="2"/>
  <c r="H177" i="2"/>
  <c r="G177" i="2"/>
  <c r="F177" i="2"/>
  <c r="E177" i="2"/>
  <c r="D177" i="2"/>
  <c r="K13" i="2"/>
  <c r="J13" i="2"/>
  <c r="I13" i="2"/>
  <c r="H13" i="2"/>
  <c r="G13" i="2"/>
  <c r="F13" i="2"/>
  <c r="E13" i="2"/>
  <c r="D13" i="2"/>
  <c r="K733" i="2"/>
  <c r="J733" i="2"/>
  <c r="I733" i="2"/>
  <c r="H733" i="2"/>
  <c r="G733" i="2"/>
  <c r="F733" i="2"/>
  <c r="E733" i="2"/>
  <c r="D733" i="2"/>
  <c r="K244" i="2"/>
  <c r="J244" i="2"/>
  <c r="I244" i="2"/>
  <c r="H244" i="2"/>
  <c r="G244" i="2"/>
  <c r="F244" i="2"/>
  <c r="E244" i="2"/>
  <c r="D244" i="2"/>
  <c r="K89" i="2"/>
  <c r="J89" i="2"/>
  <c r="I89" i="2"/>
  <c r="H89" i="2"/>
  <c r="G89" i="2"/>
  <c r="F89" i="2"/>
  <c r="E89" i="2"/>
  <c r="D89" i="2"/>
  <c r="K835" i="2"/>
  <c r="J835" i="2"/>
  <c r="I835" i="2"/>
  <c r="H835" i="2"/>
  <c r="G835" i="2"/>
  <c r="F835" i="2"/>
  <c r="E835" i="2"/>
  <c r="D835" i="2"/>
  <c r="K139" i="2"/>
  <c r="J139" i="2"/>
  <c r="I139" i="2"/>
  <c r="H139" i="2"/>
  <c r="G139" i="2"/>
  <c r="F139" i="2"/>
  <c r="E139" i="2"/>
  <c r="D139" i="2"/>
  <c r="K839" i="2"/>
  <c r="J839" i="2"/>
  <c r="I839" i="2"/>
  <c r="H839" i="2"/>
  <c r="G839" i="2"/>
  <c r="F839" i="2"/>
  <c r="E839" i="2"/>
  <c r="D839" i="2"/>
  <c r="K853" i="2"/>
  <c r="J853" i="2"/>
  <c r="I853" i="2"/>
  <c r="H853" i="2"/>
  <c r="G853" i="2"/>
  <c r="F853" i="2"/>
  <c r="E853" i="2"/>
  <c r="D853" i="2"/>
  <c r="K459" i="2"/>
  <c r="J459" i="2"/>
  <c r="I459" i="2"/>
  <c r="H459" i="2"/>
  <c r="G459" i="2"/>
  <c r="F459" i="2"/>
  <c r="E459" i="2"/>
  <c r="D459" i="2"/>
  <c r="K423" i="2"/>
  <c r="J423" i="2"/>
  <c r="I423" i="2"/>
  <c r="H423" i="2"/>
  <c r="G423" i="2"/>
  <c r="F423" i="2"/>
  <c r="E423" i="2"/>
  <c r="D423" i="2"/>
  <c r="K77" i="2"/>
  <c r="J77" i="2"/>
  <c r="I77" i="2"/>
  <c r="H77" i="2"/>
  <c r="G77" i="2"/>
  <c r="F77" i="2"/>
  <c r="E77" i="2"/>
  <c r="D77" i="2"/>
  <c r="K489" i="2"/>
  <c r="J489" i="2"/>
  <c r="I489" i="2"/>
  <c r="H489" i="2"/>
  <c r="G489" i="2"/>
  <c r="F489" i="2"/>
  <c r="E489" i="2"/>
  <c r="D489" i="2"/>
  <c r="K165" i="2"/>
  <c r="J165" i="2"/>
  <c r="I165" i="2"/>
  <c r="H165" i="2"/>
  <c r="G165" i="2"/>
  <c r="F165" i="2"/>
  <c r="E165" i="2"/>
  <c r="D165" i="2"/>
  <c r="K27" i="2"/>
  <c r="J27" i="2"/>
  <c r="I27" i="2"/>
  <c r="H27" i="2"/>
  <c r="G27" i="2"/>
  <c r="F27" i="2"/>
  <c r="E27" i="2"/>
  <c r="D27" i="2"/>
  <c r="K451" i="2"/>
  <c r="J451" i="2"/>
  <c r="I451" i="2"/>
  <c r="H451" i="2"/>
  <c r="G451" i="2"/>
  <c r="F451" i="2"/>
  <c r="E451" i="2"/>
  <c r="D451" i="2"/>
  <c r="K551" i="2"/>
  <c r="J551" i="2"/>
  <c r="I551" i="2"/>
  <c r="H551" i="2"/>
  <c r="G551" i="2"/>
  <c r="F551" i="2"/>
  <c r="E551" i="2"/>
  <c r="D551" i="2"/>
  <c r="K578" i="2"/>
  <c r="J578" i="2"/>
  <c r="I578" i="2"/>
  <c r="H578" i="2"/>
  <c r="G578" i="2"/>
  <c r="F578" i="2"/>
  <c r="E578" i="2"/>
  <c r="D578" i="2"/>
  <c r="K303" i="2"/>
  <c r="J303" i="2"/>
  <c r="I303" i="2"/>
  <c r="H303" i="2"/>
  <c r="G303" i="2"/>
  <c r="F303" i="2"/>
  <c r="E303" i="2"/>
  <c r="D303" i="2"/>
  <c r="K746" i="2"/>
  <c r="J746" i="2"/>
  <c r="I746" i="2"/>
  <c r="H746" i="2"/>
  <c r="G746" i="2"/>
  <c r="F746" i="2"/>
  <c r="E746" i="2"/>
  <c r="D746" i="2"/>
  <c r="K193" i="2"/>
  <c r="J193" i="2"/>
  <c r="I193" i="2"/>
  <c r="H193" i="2"/>
  <c r="G193" i="2"/>
  <c r="F193" i="2"/>
  <c r="E193" i="2"/>
  <c r="D193" i="2"/>
  <c r="K773" i="2"/>
  <c r="J773" i="2"/>
  <c r="I773" i="2"/>
  <c r="H773" i="2"/>
  <c r="G773" i="2"/>
  <c r="F773" i="2"/>
  <c r="E773" i="2"/>
  <c r="D773" i="2"/>
  <c r="K690" i="2"/>
  <c r="J690" i="2"/>
  <c r="I690" i="2"/>
  <c r="H690" i="2"/>
  <c r="G690" i="2"/>
  <c r="F690" i="2"/>
  <c r="E690" i="2"/>
  <c r="D690" i="2"/>
  <c r="K618" i="2"/>
  <c r="J618" i="2"/>
  <c r="I618" i="2"/>
  <c r="H618" i="2"/>
  <c r="G618" i="2"/>
  <c r="F618" i="2"/>
  <c r="E618" i="2"/>
  <c r="D618" i="2"/>
  <c r="K693" i="2"/>
  <c r="J693" i="2"/>
  <c r="I693" i="2"/>
  <c r="H693" i="2"/>
  <c r="G693" i="2"/>
  <c r="F693" i="2"/>
  <c r="E693" i="2"/>
  <c r="D693" i="2"/>
  <c r="K256" i="2"/>
  <c r="J256" i="2"/>
  <c r="I256" i="2"/>
  <c r="H256" i="2"/>
  <c r="G256" i="2"/>
  <c r="F256" i="2"/>
  <c r="E256" i="2"/>
  <c r="D256" i="2"/>
  <c r="K677" i="2"/>
  <c r="J677" i="2"/>
  <c r="I677" i="2"/>
  <c r="H677" i="2"/>
  <c r="G677" i="2"/>
  <c r="F677" i="2"/>
  <c r="E677" i="2"/>
  <c r="D677" i="2"/>
  <c r="K648" i="2"/>
  <c r="J648" i="2"/>
  <c r="I648" i="2"/>
  <c r="H648" i="2"/>
  <c r="G648" i="2"/>
  <c r="F648" i="2"/>
  <c r="E648" i="2"/>
  <c r="D648" i="2"/>
  <c r="K32" i="2"/>
  <c r="J32" i="2"/>
  <c r="I32" i="2"/>
  <c r="H32" i="2"/>
  <c r="G32" i="2"/>
  <c r="F32" i="2"/>
  <c r="E32" i="2"/>
  <c r="D32" i="2"/>
  <c r="K600" i="2"/>
  <c r="J600" i="2"/>
  <c r="I600" i="2"/>
  <c r="H600" i="2"/>
  <c r="G600" i="2"/>
  <c r="F600" i="2"/>
  <c r="E600" i="2"/>
  <c r="D600" i="2"/>
  <c r="K904" i="2"/>
  <c r="J904" i="2"/>
  <c r="I904" i="2"/>
  <c r="H904" i="2"/>
  <c r="G904" i="2"/>
  <c r="F904" i="2"/>
  <c r="E904" i="2"/>
  <c r="D904" i="2"/>
  <c r="K880" i="2"/>
  <c r="J880" i="2"/>
  <c r="I880" i="2"/>
  <c r="H880" i="2"/>
  <c r="G880" i="2"/>
  <c r="F880" i="2"/>
  <c r="E880" i="2"/>
  <c r="D880" i="2"/>
  <c r="K550" i="2"/>
  <c r="J550" i="2"/>
  <c r="I550" i="2"/>
  <c r="H550" i="2"/>
  <c r="G550" i="2"/>
  <c r="F550" i="2"/>
  <c r="E550" i="2"/>
  <c r="D550" i="2"/>
  <c r="K454" i="2"/>
  <c r="J454" i="2"/>
  <c r="I454" i="2"/>
  <c r="H454" i="2"/>
  <c r="G454" i="2"/>
  <c r="F454" i="2"/>
  <c r="E454" i="2"/>
  <c r="D454" i="2"/>
  <c r="K891" i="2"/>
  <c r="J891" i="2"/>
  <c r="I891" i="2"/>
  <c r="H891" i="2"/>
  <c r="G891" i="2"/>
  <c r="F891" i="2"/>
  <c r="E891" i="2"/>
  <c r="D891" i="2"/>
  <c r="K686" i="2"/>
  <c r="J686" i="2"/>
  <c r="I686" i="2"/>
  <c r="H686" i="2"/>
  <c r="G686" i="2"/>
  <c r="F686" i="2"/>
  <c r="E686" i="2"/>
  <c r="D686" i="2"/>
  <c r="K725" i="2"/>
  <c r="J725" i="2"/>
  <c r="I725" i="2"/>
  <c r="H725" i="2"/>
  <c r="G725" i="2"/>
  <c r="F725" i="2"/>
  <c r="E725" i="2"/>
  <c r="D725" i="2"/>
  <c r="K687" i="2"/>
  <c r="J687" i="2"/>
  <c r="I687" i="2"/>
  <c r="H687" i="2"/>
  <c r="G687" i="2"/>
  <c r="F687" i="2"/>
  <c r="E687" i="2"/>
  <c r="D687" i="2"/>
  <c r="K596" i="2"/>
  <c r="J596" i="2"/>
  <c r="I596" i="2"/>
  <c r="H596" i="2"/>
  <c r="G596" i="2"/>
  <c r="F596" i="2"/>
  <c r="E596" i="2"/>
  <c r="D596" i="2"/>
  <c r="K734" i="2"/>
  <c r="J734" i="2"/>
  <c r="I734" i="2"/>
  <c r="H734" i="2"/>
  <c r="G734" i="2"/>
  <c r="F734" i="2"/>
  <c r="E734" i="2"/>
  <c r="D734" i="2"/>
  <c r="C1573" i="2"/>
  <c r="A1573" i="2"/>
  <c r="C1572" i="2"/>
  <c r="A1572" i="2"/>
  <c r="C1571" i="2"/>
  <c r="A1571" i="2"/>
  <c r="C1570" i="2"/>
  <c r="A1570" i="2"/>
  <c r="C1569" i="2"/>
  <c r="A1569" i="2"/>
  <c r="C1568" i="2"/>
  <c r="A1568" i="2"/>
  <c r="C1567" i="2"/>
  <c r="A1567" i="2"/>
  <c r="C1566" i="2"/>
  <c r="A1566" i="2"/>
  <c r="C1565" i="2"/>
  <c r="A1565" i="2"/>
  <c r="C1564" i="2"/>
  <c r="A1564" i="2"/>
  <c r="C1563" i="2"/>
  <c r="A1563" i="2"/>
  <c r="C1562" i="2"/>
  <c r="A1562" i="2"/>
  <c r="C1561" i="2"/>
  <c r="A1561" i="2"/>
  <c r="C1560" i="2"/>
  <c r="A1560" i="2"/>
  <c r="C1559" i="2"/>
  <c r="A1559" i="2"/>
  <c r="C1558" i="2"/>
  <c r="A1558" i="2"/>
  <c r="C1557" i="2"/>
  <c r="A1557" i="2"/>
  <c r="C1556" i="2"/>
  <c r="A1556" i="2"/>
  <c r="C1555" i="2"/>
  <c r="A1555" i="2"/>
  <c r="C1554" i="2"/>
  <c r="A1554" i="2"/>
  <c r="C1553" i="2"/>
  <c r="A1553" i="2"/>
  <c r="C1552" i="2"/>
  <c r="A1552" i="2"/>
  <c r="C1551" i="2"/>
  <c r="A1551" i="2"/>
  <c r="C1550" i="2"/>
  <c r="A1550" i="2"/>
  <c r="C1549" i="2"/>
  <c r="A1549" i="2"/>
  <c r="C1548" i="2"/>
  <c r="A1548" i="2"/>
  <c r="C1547" i="2"/>
  <c r="A1547" i="2"/>
  <c r="C1546" i="2"/>
  <c r="A1546" i="2"/>
  <c r="C1545" i="2"/>
  <c r="A1545" i="2"/>
  <c r="C1544" i="2"/>
  <c r="A1544" i="2"/>
  <c r="C1543" i="2"/>
  <c r="A1543" i="2"/>
  <c r="C1542" i="2"/>
  <c r="A1542" i="2"/>
  <c r="C1541" i="2"/>
  <c r="A1541" i="2"/>
  <c r="C1540" i="2"/>
  <c r="A1540" i="2"/>
  <c r="C1539" i="2"/>
  <c r="A1539" i="2"/>
  <c r="C1538" i="2"/>
  <c r="A1538" i="2"/>
  <c r="C1537" i="2"/>
  <c r="A1537" i="2"/>
  <c r="C1536" i="2"/>
  <c r="A1536" i="2"/>
  <c r="C1535" i="2"/>
  <c r="A1535" i="2"/>
  <c r="C1534" i="2"/>
  <c r="A1534" i="2"/>
  <c r="C1533" i="2"/>
  <c r="A1533" i="2"/>
  <c r="C1532" i="2"/>
  <c r="A1532" i="2"/>
  <c r="C1531" i="2"/>
  <c r="A1531" i="2"/>
  <c r="C1530" i="2"/>
  <c r="A1530" i="2"/>
  <c r="C1529" i="2"/>
  <c r="A1529" i="2"/>
  <c r="C1528" i="2"/>
  <c r="A1528" i="2"/>
  <c r="C1527" i="2"/>
  <c r="A1527" i="2"/>
  <c r="C1526" i="2"/>
  <c r="A1526" i="2"/>
  <c r="C1525" i="2"/>
  <c r="A1525" i="2"/>
  <c r="C1524" i="2"/>
  <c r="A1524" i="2"/>
  <c r="C1523" i="2"/>
  <c r="A1523" i="2"/>
  <c r="C1522" i="2"/>
  <c r="A1522" i="2"/>
  <c r="C1521" i="2"/>
  <c r="A1521" i="2"/>
  <c r="C1520" i="2"/>
  <c r="A1520" i="2"/>
  <c r="C1519" i="2"/>
  <c r="A1519" i="2"/>
  <c r="C1518" i="2"/>
  <c r="A1518" i="2"/>
  <c r="C1517" i="2"/>
  <c r="A1517" i="2"/>
  <c r="C1516" i="2"/>
  <c r="A1516" i="2"/>
  <c r="C1515" i="2"/>
  <c r="A1515" i="2"/>
  <c r="C1514" i="2"/>
  <c r="A1514" i="2"/>
  <c r="C1513" i="2"/>
  <c r="A1513" i="2"/>
  <c r="C1512" i="2"/>
  <c r="A1512" i="2"/>
  <c r="C1511" i="2"/>
  <c r="A1511" i="2"/>
  <c r="C1510" i="2"/>
  <c r="A1510" i="2"/>
  <c r="C1509" i="2"/>
  <c r="A1509" i="2"/>
  <c r="C1508" i="2"/>
  <c r="A1508" i="2"/>
  <c r="C1507" i="2"/>
  <c r="A1507" i="2"/>
  <c r="C1506" i="2"/>
  <c r="A1506" i="2"/>
  <c r="C1505" i="2"/>
  <c r="A1505" i="2"/>
  <c r="C1504" i="2"/>
  <c r="A1504" i="2"/>
  <c r="C1503" i="2"/>
  <c r="A1503" i="2"/>
  <c r="C1502" i="2"/>
  <c r="A1502" i="2"/>
  <c r="C1501" i="2"/>
  <c r="A1501" i="2"/>
  <c r="C1500" i="2"/>
  <c r="A1500" i="2"/>
  <c r="C1499" i="2"/>
  <c r="A1499" i="2"/>
  <c r="C1498" i="2"/>
  <c r="A1498" i="2"/>
  <c r="C1497" i="2"/>
  <c r="A1497" i="2"/>
  <c r="C1496" i="2"/>
  <c r="A1496" i="2"/>
  <c r="C1495" i="2"/>
  <c r="A1495" i="2"/>
  <c r="C1494" i="2"/>
  <c r="A1494" i="2"/>
  <c r="C1493" i="2"/>
  <c r="A1493" i="2"/>
  <c r="C1492" i="2"/>
  <c r="A1492" i="2"/>
  <c r="C1491" i="2"/>
  <c r="A1491" i="2"/>
  <c r="C1490" i="2"/>
  <c r="A1490" i="2"/>
  <c r="C1489" i="2"/>
  <c r="A1489" i="2"/>
  <c r="C1488" i="2"/>
  <c r="A1488" i="2"/>
  <c r="C1487" i="2"/>
  <c r="A1487" i="2"/>
  <c r="C1486" i="2"/>
  <c r="A1486" i="2"/>
  <c r="C1485" i="2"/>
  <c r="A1485" i="2"/>
  <c r="C1484" i="2"/>
  <c r="A1484" i="2"/>
  <c r="A1483" i="2"/>
  <c r="C1482" i="2"/>
  <c r="A1482" i="2"/>
  <c r="C1481" i="2"/>
  <c r="A1481" i="2"/>
  <c r="C1480" i="2"/>
  <c r="A1480" i="2"/>
  <c r="C1479" i="2"/>
  <c r="A1479" i="2"/>
  <c r="C1478" i="2"/>
  <c r="A1478" i="2"/>
  <c r="C1477" i="2"/>
  <c r="A1477" i="2"/>
  <c r="C1476" i="2"/>
  <c r="A1476" i="2"/>
  <c r="C1475" i="2"/>
  <c r="A1475" i="2"/>
  <c r="C1474" i="2"/>
  <c r="A1474" i="2"/>
  <c r="C1473" i="2"/>
  <c r="A1473" i="2"/>
  <c r="C1472" i="2"/>
  <c r="A1472" i="2"/>
  <c r="C1471" i="2"/>
  <c r="A1471" i="2"/>
  <c r="C1470" i="2"/>
  <c r="A1470" i="2"/>
  <c r="C1469" i="2"/>
  <c r="A1469" i="2"/>
  <c r="C1468" i="2"/>
  <c r="A1468" i="2"/>
  <c r="C1467" i="2"/>
  <c r="A1467" i="2"/>
  <c r="C1466" i="2"/>
  <c r="A1466" i="2"/>
  <c r="C1465" i="2"/>
  <c r="A1465" i="2"/>
  <c r="C1464" i="2"/>
  <c r="A1464" i="2"/>
  <c r="C1463" i="2"/>
  <c r="A1463" i="2"/>
  <c r="C1462" i="2"/>
  <c r="A1462" i="2"/>
  <c r="C1461" i="2"/>
  <c r="A1461" i="2"/>
  <c r="C1460" i="2"/>
  <c r="A1460" i="2"/>
  <c r="C1459" i="2"/>
  <c r="A1459" i="2"/>
  <c r="C1458" i="2"/>
  <c r="A1458" i="2"/>
  <c r="C1457" i="2"/>
  <c r="A1457" i="2"/>
  <c r="C1456" i="2"/>
  <c r="A1456" i="2"/>
  <c r="C1455" i="2"/>
  <c r="A1455" i="2"/>
  <c r="C1454" i="2"/>
  <c r="A1454" i="2"/>
  <c r="C1453" i="2"/>
  <c r="A1453" i="2"/>
  <c r="C1452" i="2"/>
  <c r="A1452" i="2"/>
  <c r="C1451" i="2"/>
  <c r="A1451" i="2"/>
  <c r="C1450" i="2"/>
  <c r="A1450" i="2"/>
  <c r="C1449" i="2"/>
  <c r="A1449" i="2"/>
  <c r="C1448" i="2"/>
  <c r="A1448" i="2"/>
  <c r="C1447" i="2"/>
  <c r="A1447" i="2"/>
  <c r="C1446" i="2"/>
  <c r="A1446" i="2"/>
  <c r="C1445" i="2"/>
  <c r="A1445" i="2"/>
  <c r="C1444" i="2"/>
  <c r="A1444" i="2"/>
  <c r="C1443" i="2"/>
  <c r="A1443" i="2"/>
  <c r="C1442" i="2"/>
  <c r="A1442" i="2"/>
  <c r="C1441" i="2"/>
  <c r="A1441" i="2"/>
  <c r="C1440" i="2"/>
  <c r="A1440" i="2"/>
  <c r="C1439" i="2"/>
  <c r="A1439" i="2"/>
  <c r="C1438" i="2"/>
  <c r="A1438" i="2"/>
  <c r="C1437" i="2"/>
  <c r="A1437" i="2"/>
  <c r="C1436" i="2"/>
  <c r="A1436" i="2"/>
  <c r="C1435" i="2"/>
  <c r="A1435" i="2"/>
  <c r="C1434" i="2"/>
  <c r="A1434" i="2"/>
  <c r="C1433" i="2"/>
  <c r="A1433" i="2"/>
  <c r="C1432" i="2"/>
  <c r="A1432" i="2"/>
  <c r="C1431" i="2"/>
  <c r="A1431" i="2"/>
  <c r="C1430" i="2"/>
  <c r="A1430" i="2"/>
  <c r="C1429" i="2"/>
  <c r="A1429" i="2"/>
  <c r="C1428" i="2"/>
  <c r="A1428" i="2"/>
  <c r="C1427" i="2"/>
  <c r="A1427" i="2"/>
  <c r="C1426" i="2"/>
  <c r="A1426" i="2"/>
  <c r="C1425" i="2"/>
  <c r="A1425" i="2"/>
  <c r="C1424" i="2"/>
  <c r="A1424" i="2"/>
  <c r="C1423" i="2"/>
  <c r="A1423" i="2"/>
  <c r="C1422" i="2"/>
  <c r="A1422" i="2"/>
  <c r="C1421" i="2"/>
  <c r="A1421" i="2"/>
  <c r="C1420" i="2"/>
  <c r="A1420" i="2"/>
  <c r="C1419" i="2"/>
  <c r="A1419" i="2"/>
  <c r="C1418" i="2"/>
  <c r="A1418" i="2"/>
  <c r="C1417" i="2"/>
  <c r="A1417" i="2"/>
  <c r="C1416" i="2"/>
  <c r="A1416" i="2"/>
  <c r="C1415" i="2"/>
  <c r="A1415" i="2"/>
  <c r="C1414" i="2"/>
  <c r="A1414" i="2"/>
  <c r="C1413" i="2"/>
  <c r="A1413" i="2"/>
  <c r="C1412" i="2"/>
  <c r="A1412" i="2"/>
  <c r="C1411" i="2"/>
  <c r="A1411" i="2"/>
  <c r="C1410" i="2"/>
  <c r="A1410" i="2"/>
  <c r="C1409" i="2"/>
  <c r="A1409" i="2"/>
  <c r="C1408" i="2"/>
  <c r="A1408" i="2"/>
  <c r="C1407" i="2"/>
  <c r="A1407" i="2"/>
  <c r="C1406" i="2"/>
  <c r="A1406" i="2"/>
  <c r="C1405" i="2"/>
  <c r="A1405" i="2"/>
  <c r="C1404" i="2"/>
  <c r="A1404" i="2"/>
  <c r="C1403" i="2"/>
  <c r="A1403" i="2"/>
  <c r="C1402" i="2"/>
  <c r="A1402" i="2"/>
  <c r="C1401" i="2"/>
  <c r="A1401" i="2"/>
  <c r="C1400" i="2"/>
  <c r="A1400" i="2"/>
  <c r="C1399" i="2"/>
  <c r="A1399" i="2"/>
  <c r="C1398" i="2"/>
  <c r="A1398" i="2"/>
  <c r="C1397" i="2"/>
  <c r="A1397" i="2"/>
  <c r="C1396" i="2"/>
  <c r="A1396" i="2"/>
  <c r="C1395" i="2"/>
  <c r="A1395" i="2"/>
  <c r="C1394" i="2"/>
  <c r="A1394" i="2"/>
  <c r="C1393" i="2"/>
  <c r="A1393" i="2"/>
  <c r="C1392" i="2"/>
  <c r="A1392" i="2"/>
  <c r="C1391" i="2"/>
  <c r="A1391" i="2"/>
  <c r="C1390" i="2"/>
  <c r="A1390" i="2"/>
  <c r="C1389" i="2"/>
  <c r="A1389" i="2"/>
  <c r="C1388" i="2"/>
  <c r="A1388" i="2"/>
  <c r="C1387" i="2"/>
  <c r="A1387" i="2"/>
  <c r="C1386" i="2"/>
  <c r="A1386" i="2"/>
  <c r="C1385" i="2"/>
  <c r="A1385" i="2"/>
  <c r="C1384" i="2"/>
  <c r="A1384" i="2"/>
  <c r="C1383" i="2"/>
  <c r="A1383" i="2"/>
  <c r="C1382" i="2"/>
  <c r="A1382" i="2"/>
  <c r="C1381" i="2"/>
  <c r="A1381" i="2"/>
  <c r="C1380" i="2"/>
  <c r="A1380" i="2"/>
  <c r="C1379" i="2"/>
  <c r="A1379" i="2"/>
  <c r="C1378" i="2"/>
  <c r="A1378" i="2"/>
  <c r="C1377" i="2"/>
  <c r="A1377" i="2"/>
  <c r="C1376" i="2"/>
  <c r="A1376" i="2"/>
  <c r="C1375" i="2"/>
  <c r="A1375" i="2"/>
  <c r="C1374" i="2"/>
  <c r="A1374" i="2"/>
  <c r="C1373" i="2"/>
  <c r="A1373" i="2"/>
  <c r="C1372" i="2"/>
  <c r="A1372" i="2"/>
  <c r="C1371" i="2"/>
  <c r="A1371" i="2"/>
  <c r="C1370" i="2"/>
  <c r="A1370" i="2"/>
  <c r="C1369" i="2"/>
  <c r="A1369" i="2"/>
  <c r="C1368" i="2"/>
  <c r="A1368" i="2"/>
  <c r="C1367" i="2"/>
  <c r="A1367" i="2"/>
  <c r="C1366" i="2"/>
  <c r="A1366" i="2"/>
  <c r="C1365" i="2"/>
  <c r="A1365" i="2"/>
  <c r="C1364" i="2"/>
  <c r="A1364" i="2"/>
  <c r="C1363" i="2"/>
  <c r="A1363" i="2"/>
  <c r="C1362" i="2"/>
  <c r="A1362" i="2"/>
  <c r="C1361" i="2"/>
  <c r="A1361" i="2"/>
  <c r="C1360" i="2"/>
  <c r="A1360" i="2"/>
  <c r="C1359" i="2"/>
  <c r="A1359" i="2"/>
  <c r="C1358" i="2"/>
  <c r="A1358" i="2"/>
  <c r="C1357" i="2"/>
  <c r="A1357" i="2"/>
  <c r="C1356" i="2"/>
  <c r="A1356" i="2"/>
  <c r="C1355" i="2"/>
  <c r="A1355" i="2"/>
  <c r="C1354" i="2"/>
  <c r="A1354" i="2"/>
  <c r="C1353" i="2"/>
  <c r="A1353" i="2"/>
  <c r="C1352" i="2"/>
  <c r="A1352" i="2"/>
  <c r="C1351" i="2"/>
  <c r="A1351" i="2"/>
  <c r="C1350" i="2"/>
  <c r="A1350" i="2"/>
  <c r="C1349" i="2"/>
  <c r="A1349" i="2"/>
  <c r="C1348" i="2"/>
  <c r="A1348" i="2"/>
  <c r="C1347" i="2"/>
  <c r="A1347" i="2"/>
  <c r="C1346" i="2"/>
  <c r="A1346" i="2"/>
  <c r="C1345" i="2"/>
  <c r="A1345" i="2"/>
  <c r="C1344" i="2"/>
  <c r="A1344" i="2"/>
  <c r="C1343" i="2"/>
  <c r="A1343" i="2"/>
  <c r="C1342" i="2"/>
  <c r="A1342" i="2"/>
  <c r="C1341" i="2"/>
  <c r="A1341" i="2"/>
  <c r="C1340" i="2"/>
  <c r="A1340" i="2"/>
  <c r="C1339" i="2"/>
  <c r="A1339" i="2"/>
  <c r="C1338" i="2"/>
  <c r="A1338" i="2"/>
  <c r="C1337" i="2"/>
  <c r="A1337" i="2"/>
  <c r="C1336" i="2"/>
  <c r="A1336" i="2"/>
  <c r="C1335" i="2"/>
  <c r="A1335" i="2"/>
  <c r="C1334" i="2"/>
  <c r="A1334" i="2"/>
  <c r="C1333" i="2"/>
  <c r="A1333" i="2"/>
  <c r="C1332" i="2"/>
  <c r="A1332" i="2"/>
  <c r="C1331" i="2"/>
  <c r="A1331" i="2"/>
  <c r="C1330" i="2"/>
  <c r="A1330" i="2"/>
  <c r="C1329" i="2"/>
  <c r="A1329" i="2"/>
  <c r="C1328" i="2"/>
  <c r="A1328" i="2"/>
  <c r="C1327" i="2"/>
  <c r="A1327" i="2"/>
  <c r="C1326" i="2"/>
  <c r="A1326" i="2"/>
  <c r="C1325" i="2"/>
  <c r="A1325" i="2"/>
  <c r="C1324" i="2"/>
  <c r="A1324" i="2"/>
  <c r="C1323" i="2"/>
  <c r="A1323" i="2"/>
  <c r="C1322" i="2"/>
  <c r="A1322" i="2"/>
  <c r="C1321" i="2"/>
  <c r="A1321" i="2"/>
  <c r="C1320" i="2"/>
  <c r="A1320" i="2"/>
  <c r="C1319" i="2"/>
  <c r="A1319" i="2"/>
  <c r="C1318" i="2"/>
  <c r="A1318" i="2"/>
  <c r="C1317" i="2"/>
  <c r="A1317" i="2"/>
  <c r="C1316" i="2"/>
  <c r="A1316" i="2"/>
  <c r="C1315" i="2"/>
  <c r="A1315" i="2"/>
  <c r="C1314" i="2"/>
  <c r="A1314" i="2"/>
  <c r="C1313" i="2"/>
  <c r="A1313" i="2"/>
  <c r="C1312" i="2"/>
  <c r="A1312" i="2"/>
  <c r="C1311" i="2"/>
  <c r="A1311" i="2"/>
  <c r="C1310" i="2"/>
  <c r="A1310" i="2"/>
  <c r="C1309" i="2"/>
  <c r="A1309" i="2"/>
  <c r="C1308" i="2"/>
  <c r="A1308" i="2"/>
  <c r="C1307" i="2"/>
  <c r="A1307" i="2"/>
  <c r="C1306" i="2"/>
  <c r="A1306" i="2"/>
  <c r="C1305" i="2"/>
  <c r="A1305" i="2"/>
  <c r="C1304" i="2"/>
  <c r="A1304" i="2"/>
  <c r="C1303" i="2"/>
  <c r="A1303" i="2"/>
  <c r="C1302" i="2"/>
  <c r="A1302" i="2"/>
  <c r="C1301" i="2"/>
  <c r="A1301" i="2"/>
  <c r="C1300" i="2"/>
  <c r="A1300" i="2"/>
  <c r="C1299" i="2"/>
  <c r="A1299" i="2"/>
  <c r="C1298" i="2"/>
  <c r="A1298" i="2"/>
  <c r="C1297" i="2"/>
  <c r="A1297" i="2"/>
  <c r="C1296" i="2"/>
  <c r="A1296" i="2"/>
  <c r="C1295" i="2"/>
  <c r="A1295" i="2"/>
  <c r="C1294" i="2"/>
  <c r="A1294" i="2"/>
  <c r="C1293" i="2"/>
  <c r="A1293" i="2"/>
  <c r="C1292" i="2"/>
  <c r="A1292" i="2"/>
  <c r="C1291" i="2"/>
  <c r="A1291" i="2"/>
  <c r="C1290" i="2"/>
  <c r="A1290" i="2"/>
  <c r="A1289" i="2"/>
  <c r="C1288" i="2"/>
  <c r="A1288" i="2"/>
  <c r="C1287" i="2"/>
  <c r="A1287" i="2"/>
  <c r="C1286" i="2"/>
  <c r="A1286" i="2"/>
  <c r="C1285" i="2"/>
  <c r="A1285" i="2"/>
  <c r="C1284" i="2"/>
  <c r="A1284" i="2"/>
  <c r="C1283" i="2"/>
  <c r="A1283" i="2"/>
  <c r="C1282" i="2"/>
  <c r="A1282" i="2"/>
  <c r="C1281" i="2"/>
  <c r="A1281" i="2"/>
  <c r="C1280" i="2"/>
  <c r="A1280" i="2"/>
  <c r="C1279" i="2"/>
  <c r="A1279" i="2"/>
  <c r="C1278" i="2"/>
  <c r="A1278" i="2"/>
  <c r="C1277" i="2"/>
  <c r="A1277" i="2"/>
  <c r="C1276" i="2"/>
  <c r="A1276" i="2"/>
  <c r="C1275" i="2"/>
  <c r="A1275" i="2"/>
  <c r="C1274" i="2"/>
  <c r="A1274" i="2"/>
  <c r="C1273" i="2"/>
  <c r="A1273" i="2"/>
  <c r="C1272" i="2"/>
  <c r="A1272" i="2"/>
  <c r="C1271" i="2"/>
  <c r="A1271" i="2"/>
  <c r="C1270" i="2"/>
  <c r="A1270" i="2"/>
  <c r="C1269" i="2"/>
  <c r="A1269" i="2"/>
  <c r="C1268" i="2"/>
  <c r="A1268" i="2"/>
  <c r="C1267" i="2"/>
  <c r="A1267" i="2"/>
  <c r="C1266" i="2"/>
  <c r="A1266" i="2"/>
  <c r="C1265" i="2"/>
  <c r="A1265" i="2"/>
  <c r="C1264" i="2"/>
  <c r="A1264" i="2"/>
  <c r="C1263" i="2"/>
  <c r="A1263" i="2"/>
  <c r="C1262" i="2"/>
  <c r="A1262" i="2"/>
  <c r="C1261" i="2"/>
  <c r="A1261" i="2"/>
  <c r="C1260" i="2"/>
  <c r="A1260" i="2"/>
  <c r="C1259" i="2"/>
  <c r="A1259" i="2"/>
  <c r="C1258" i="2"/>
  <c r="A1258" i="2"/>
  <c r="C1257" i="2"/>
  <c r="A1257" i="2"/>
  <c r="C1256" i="2"/>
  <c r="A1256" i="2"/>
  <c r="C1255" i="2"/>
  <c r="A1255" i="2"/>
  <c r="C1254" i="2"/>
  <c r="A1254" i="2"/>
  <c r="C1253" i="2"/>
  <c r="A1253" i="2"/>
  <c r="C1252" i="2"/>
  <c r="A1252" i="2"/>
  <c r="C1251" i="2"/>
  <c r="A1251" i="2"/>
  <c r="C1250" i="2"/>
  <c r="A1250" i="2"/>
  <c r="C1249" i="2"/>
  <c r="A1249" i="2"/>
  <c r="C1248" i="2"/>
  <c r="A1248" i="2"/>
  <c r="C1247" i="2"/>
  <c r="A1247" i="2"/>
  <c r="C1246" i="2"/>
  <c r="A1246" i="2"/>
  <c r="C1245" i="2"/>
  <c r="A1245" i="2"/>
  <c r="C1244" i="2"/>
  <c r="A1244" i="2"/>
  <c r="C1243" i="2"/>
  <c r="A1243" i="2"/>
  <c r="C1242" i="2"/>
  <c r="A1242" i="2"/>
  <c r="C1241" i="2"/>
  <c r="A1241" i="2"/>
  <c r="C1240" i="2"/>
  <c r="A1240" i="2"/>
  <c r="C1239" i="2"/>
  <c r="A1239" i="2"/>
  <c r="C1238" i="2"/>
  <c r="A1238" i="2"/>
  <c r="C1237" i="2"/>
  <c r="A1237" i="2"/>
  <c r="C1236" i="2"/>
  <c r="A1236" i="2"/>
  <c r="C1235" i="2"/>
  <c r="A1235" i="2"/>
  <c r="C1234" i="2"/>
  <c r="A1234" i="2"/>
  <c r="C1233" i="2"/>
  <c r="A1233" i="2"/>
  <c r="C1232" i="2"/>
  <c r="A1232" i="2"/>
  <c r="C1231" i="2"/>
  <c r="A1231" i="2"/>
  <c r="C1230" i="2"/>
  <c r="A1230" i="2"/>
  <c r="C1229" i="2"/>
  <c r="A1229" i="2"/>
  <c r="C1228" i="2"/>
  <c r="A1228" i="2"/>
  <c r="C1227" i="2"/>
  <c r="A1227" i="2"/>
  <c r="C1226" i="2"/>
  <c r="A1226" i="2"/>
  <c r="C1225" i="2"/>
  <c r="A1225" i="2"/>
  <c r="C1224" i="2"/>
  <c r="A1224" i="2"/>
  <c r="C1223" i="2"/>
  <c r="A1223" i="2"/>
  <c r="C1222" i="2"/>
  <c r="A1222" i="2"/>
  <c r="C1221" i="2"/>
  <c r="A1221" i="2"/>
  <c r="C1220" i="2"/>
  <c r="A1220" i="2"/>
  <c r="C1219" i="2"/>
  <c r="A1219" i="2"/>
  <c r="C1218" i="2"/>
  <c r="A1218" i="2"/>
  <c r="C1217" i="2"/>
  <c r="A1217" i="2"/>
  <c r="C1216" i="2"/>
  <c r="A1216" i="2"/>
  <c r="C1215" i="2"/>
  <c r="A1215" i="2"/>
  <c r="C1214" i="2"/>
  <c r="A1214" i="2"/>
  <c r="C1213" i="2"/>
  <c r="A1213" i="2"/>
  <c r="C1212" i="2"/>
  <c r="A1212" i="2"/>
  <c r="C1211" i="2"/>
  <c r="A1211" i="2"/>
  <c r="C1210" i="2"/>
  <c r="A1210" i="2"/>
  <c r="C1209" i="2"/>
  <c r="A1209" i="2"/>
  <c r="C1208" i="2"/>
  <c r="A1208" i="2"/>
  <c r="C1207" i="2"/>
  <c r="A1207" i="2"/>
  <c r="C1206" i="2"/>
  <c r="A1206" i="2"/>
  <c r="C1205" i="2"/>
  <c r="A1205" i="2"/>
  <c r="C1204" i="2"/>
  <c r="A1204" i="2"/>
  <c r="C1203" i="2"/>
  <c r="A1203" i="2"/>
  <c r="C1202" i="2"/>
  <c r="A1202" i="2"/>
  <c r="C1201" i="2"/>
  <c r="A1201" i="2"/>
  <c r="C1200" i="2"/>
  <c r="A1200" i="2"/>
  <c r="C1199" i="2"/>
  <c r="A1199" i="2"/>
  <c r="C1198" i="2"/>
  <c r="A1198" i="2"/>
  <c r="C1197" i="2"/>
  <c r="A1197" i="2"/>
  <c r="C1196" i="2"/>
  <c r="A1196" i="2"/>
  <c r="C1195" i="2"/>
  <c r="A1195" i="2"/>
  <c r="C1194" i="2"/>
  <c r="A1194" i="2"/>
  <c r="C1193" i="2"/>
  <c r="A1193" i="2"/>
  <c r="C1192" i="2"/>
  <c r="A1192" i="2"/>
  <c r="C1191" i="2"/>
  <c r="A1191" i="2"/>
  <c r="C1190" i="2"/>
  <c r="A1190" i="2"/>
  <c r="C1189" i="2"/>
  <c r="A1189" i="2"/>
  <c r="C1188" i="2"/>
  <c r="A1188" i="2"/>
  <c r="C1187" i="2"/>
  <c r="A1187" i="2"/>
  <c r="C1186" i="2"/>
  <c r="A1186" i="2"/>
  <c r="C1185" i="2"/>
  <c r="A1185" i="2"/>
  <c r="C1184" i="2"/>
  <c r="A1184" i="2"/>
  <c r="C1183" i="2"/>
  <c r="A1183" i="2"/>
  <c r="C1182" i="2"/>
  <c r="A1182" i="2"/>
  <c r="C1181" i="2"/>
  <c r="A1181" i="2"/>
  <c r="C1180" i="2"/>
  <c r="A1180" i="2"/>
  <c r="C1179" i="2"/>
  <c r="A1179" i="2"/>
  <c r="C1178" i="2"/>
  <c r="A1178" i="2"/>
  <c r="C1177" i="2"/>
  <c r="A1177" i="2"/>
  <c r="C1176" i="2"/>
  <c r="A1176" i="2"/>
  <c r="C1175" i="2"/>
  <c r="A1175" i="2"/>
  <c r="C1174" i="2"/>
  <c r="A1174" i="2"/>
  <c r="C1173" i="2"/>
  <c r="A1173" i="2"/>
  <c r="C1172" i="2"/>
  <c r="A1172" i="2"/>
  <c r="C1171" i="2"/>
  <c r="A1171" i="2"/>
  <c r="C1170" i="2"/>
  <c r="A1170" i="2"/>
  <c r="C1169" i="2"/>
  <c r="A1169" i="2"/>
  <c r="C1168" i="2"/>
  <c r="A1168" i="2"/>
  <c r="C1167" i="2"/>
  <c r="A1167" i="2"/>
  <c r="C1166" i="2"/>
  <c r="A1166" i="2"/>
  <c r="C1165" i="2"/>
  <c r="A1165" i="2"/>
  <c r="C1164" i="2"/>
  <c r="A1164" i="2"/>
  <c r="C1163" i="2"/>
  <c r="A1163" i="2"/>
  <c r="C1162" i="2"/>
  <c r="A1162" i="2"/>
  <c r="C1161" i="2"/>
  <c r="A1161" i="2"/>
  <c r="C1160" i="2"/>
  <c r="A1160" i="2"/>
  <c r="C1159" i="2"/>
  <c r="A1159" i="2"/>
  <c r="C1158" i="2"/>
  <c r="A1158" i="2"/>
  <c r="C1157" i="2"/>
  <c r="A1157" i="2"/>
  <c r="C1156" i="2"/>
  <c r="A1156" i="2"/>
  <c r="C1155" i="2"/>
  <c r="A1155" i="2"/>
  <c r="C1154" i="2"/>
  <c r="A1154" i="2"/>
  <c r="C1153" i="2"/>
  <c r="A1153" i="2"/>
  <c r="C1152" i="2"/>
  <c r="A1152" i="2"/>
  <c r="C1151" i="2"/>
  <c r="A1151" i="2"/>
  <c r="C1150" i="2"/>
  <c r="A1150" i="2"/>
  <c r="C1149" i="2"/>
  <c r="A1149" i="2"/>
  <c r="C1148" i="2"/>
  <c r="A1148" i="2"/>
  <c r="C1147" i="2"/>
  <c r="A1147" i="2"/>
  <c r="C1146" i="2"/>
  <c r="A1146" i="2"/>
  <c r="C1145" i="2"/>
  <c r="A1145" i="2"/>
  <c r="C1144" i="2"/>
  <c r="A1144" i="2"/>
  <c r="C1143" i="2"/>
  <c r="A1143" i="2"/>
  <c r="C1142" i="2"/>
  <c r="A1142" i="2"/>
  <c r="C1141" i="2"/>
  <c r="A1141" i="2"/>
  <c r="C1140" i="2"/>
  <c r="A1140" i="2"/>
  <c r="C1139" i="2"/>
  <c r="A1139" i="2"/>
  <c r="C1138" i="2"/>
  <c r="A1138" i="2"/>
  <c r="C1137" i="2"/>
  <c r="A1137" i="2"/>
  <c r="C1136" i="2"/>
  <c r="A1136" i="2"/>
  <c r="C1135" i="2"/>
  <c r="A1135" i="2"/>
  <c r="C1134" i="2"/>
  <c r="A1134" i="2"/>
  <c r="C1133" i="2"/>
  <c r="A1133" i="2"/>
  <c r="C1132" i="2"/>
  <c r="A1132" i="2"/>
  <c r="C1131" i="2"/>
  <c r="A1131" i="2"/>
  <c r="C1130" i="2"/>
  <c r="A1130" i="2"/>
  <c r="C1129" i="2"/>
  <c r="A1129" i="2"/>
  <c r="C1128" i="2"/>
  <c r="A1128" i="2"/>
  <c r="C1127" i="2"/>
  <c r="A1127" i="2"/>
  <c r="C1126" i="2"/>
  <c r="A1126" i="2"/>
  <c r="C1125" i="2"/>
  <c r="A1125" i="2"/>
  <c r="C1124" i="2"/>
  <c r="A1124" i="2"/>
  <c r="C1123" i="2"/>
  <c r="A1123" i="2"/>
  <c r="C1122" i="2"/>
  <c r="A1122" i="2"/>
  <c r="C1121" i="2"/>
  <c r="A1121" i="2"/>
  <c r="C1120" i="2"/>
  <c r="A1120" i="2"/>
  <c r="C1119" i="2"/>
  <c r="A1119" i="2"/>
  <c r="C1118" i="2"/>
  <c r="A1118" i="2"/>
  <c r="C1117" i="2"/>
  <c r="A1117" i="2"/>
  <c r="C1116" i="2"/>
  <c r="A1116" i="2"/>
  <c r="C1115" i="2"/>
  <c r="A1115" i="2"/>
  <c r="C1114" i="2"/>
  <c r="A1114" i="2"/>
  <c r="C1113" i="2"/>
  <c r="A1113" i="2"/>
  <c r="C1112" i="2"/>
  <c r="A1112" i="2"/>
  <c r="C1111" i="2"/>
  <c r="A1111" i="2"/>
  <c r="C1110" i="2"/>
  <c r="A1110" i="2"/>
  <c r="C1109" i="2"/>
  <c r="A1109" i="2"/>
  <c r="C1108" i="2"/>
  <c r="A1108" i="2"/>
  <c r="C1107" i="2"/>
  <c r="A1107" i="2"/>
  <c r="C1106" i="2"/>
  <c r="A1106" i="2"/>
  <c r="C1105" i="2"/>
  <c r="A1105" i="2"/>
  <c r="C1104" i="2"/>
  <c r="A1104" i="2"/>
  <c r="C1103" i="2"/>
  <c r="A1103" i="2"/>
  <c r="C1102" i="2"/>
  <c r="A1102" i="2"/>
  <c r="C1101" i="2"/>
  <c r="A1101" i="2"/>
  <c r="C1100" i="2"/>
  <c r="A1100" i="2"/>
  <c r="C1099" i="2"/>
  <c r="A1099" i="2"/>
  <c r="C1098" i="2"/>
  <c r="A1098" i="2"/>
  <c r="C1097" i="2"/>
  <c r="A1097" i="2"/>
  <c r="C1096" i="2"/>
  <c r="A1096" i="2"/>
  <c r="C1095" i="2"/>
  <c r="A1095" i="2"/>
  <c r="C1094" i="2"/>
  <c r="A1094" i="2"/>
  <c r="C1093" i="2"/>
  <c r="A1093" i="2"/>
  <c r="C1092" i="2"/>
  <c r="A1092" i="2"/>
  <c r="C1091" i="2"/>
  <c r="A1091" i="2"/>
  <c r="C1090" i="2"/>
  <c r="A1090" i="2"/>
  <c r="C1089" i="2"/>
  <c r="A1089" i="2"/>
  <c r="C1088" i="2"/>
  <c r="A1088" i="2"/>
  <c r="C1087" i="2"/>
  <c r="A1087" i="2"/>
  <c r="C1081" i="2"/>
  <c r="A1081" i="2"/>
  <c r="C1083" i="2"/>
  <c r="A1083" i="2"/>
  <c r="C1082" i="2"/>
  <c r="A1082" i="2"/>
  <c r="C1086" i="2"/>
  <c r="A1086" i="2"/>
  <c r="C1085" i="2"/>
  <c r="A1085" i="2"/>
  <c r="C1084" i="2"/>
  <c r="A1084" i="2"/>
  <c r="C1080" i="2"/>
  <c r="A1080" i="2"/>
  <c r="C1079" i="2"/>
  <c r="A1079" i="2"/>
  <c r="C1078" i="2"/>
  <c r="A1078" i="2"/>
  <c r="C1077" i="2"/>
  <c r="A1077" i="2"/>
  <c r="C1076" i="2"/>
  <c r="A1076" i="2"/>
  <c r="C1075" i="2"/>
  <c r="A1075" i="2"/>
  <c r="C1074" i="2"/>
  <c r="A1074" i="2"/>
  <c r="C1073" i="2"/>
  <c r="A1073" i="2"/>
  <c r="C1072" i="2"/>
  <c r="A1072" i="2"/>
  <c r="C1071" i="2"/>
  <c r="A1071" i="2"/>
  <c r="C1070" i="2"/>
  <c r="A1070" i="2"/>
  <c r="C1069" i="2"/>
  <c r="A1069" i="2"/>
  <c r="C1068" i="2"/>
  <c r="A1068" i="2"/>
  <c r="C1067" i="2"/>
  <c r="A1067" i="2"/>
  <c r="C1066" i="2"/>
  <c r="A1066" i="2"/>
  <c r="C1065" i="2"/>
  <c r="A1065" i="2"/>
  <c r="C1064" i="2"/>
  <c r="A1064" i="2"/>
  <c r="C1063" i="2"/>
  <c r="A1063" i="2"/>
  <c r="C1062" i="2"/>
  <c r="A1062" i="2"/>
  <c r="C1061" i="2"/>
  <c r="A1061" i="2"/>
  <c r="C1060" i="2"/>
  <c r="A1060" i="2"/>
  <c r="C1059" i="2"/>
  <c r="A1059" i="2"/>
  <c r="C1058" i="2"/>
  <c r="A1058" i="2"/>
  <c r="C1057" i="2"/>
  <c r="A1057" i="2"/>
  <c r="C1056" i="2"/>
  <c r="A1056" i="2"/>
  <c r="C1055" i="2"/>
  <c r="A1055" i="2"/>
  <c r="C1054" i="2"/>
  <c r="A1054" i="2"/>
  <c r="C1053" i="2"/>
  <c r="A1053" i="2"/>
  <c r="C1052" i="2"/>
  <c r="A1052" i="2"/>
  <c r="C1051" i="2"/>
  <c r="A1051" i="2"/>
  <c r="C1050" i="2"/>
  <c r="A1050" i="2"/>
  <c r="C1049" i="2"/>
  <c r="A1049" i="2"/>
  <c r="C1048" i="2"/>
  <c r="A1048" i="2"/>
  <c r="C1047" i="2"/>
  <c r="A1047" i="2"/>
  <c r="C1046" i="2"/>
  <c r="A1046" i="2"/>
  <c r="C1045" i="2"/>
  <c r="A1045" i="2"/>
  <c r="C1044" i="2"/>
  <c r="A1044" i="2"/>
  <c r="C1043" i="2"/>
  <c r="A1043" i="2"/>
  <c r="C1042" i="2"/>
  <c r="A1042" i="2"/>
  <c r="C1041" i="2"/>
  <c r="A1041" i="2"/>
  <c r="C1040" i="2"/>
  <c r="A1040" i="2"/>
  <c r="C1039" i="2"/>
  <c r="A1039" i="2"/>
  <c r="C1038" i="2"/>
  <c r="A1038" i="2"/>
  <c r="C1037" i="2"/>
  <c r="A1037" i="2"/>
  <c r="C1036" i="2"/>
  <c r="A1036" i="2"/>
  <c r="C1035" i="2"/>
  <c r="A1035" i="2"/>
  <c r="C1034" i="2"/>
  <c r="A1034" i="2"/>
  <c r="C1033" i="2"/>
  <c r="A1033" i="2"/>
  <c r="C1032" i="2"/>
  <c r="A1032" i="2"/>
  <c r="C1031" i="2"/>
  <c r="A1031" i="2"/>
  <c r="C1030" i="2"/>
  <c r="A1030" i="2"/>
  <c r="C1029" i="2"/>
  <c r="A1029" i="2"/>
  <c r="C1028" i="2"/>
  <c r="A1028" i="2"/>
  <c r="C1027" i="2"/>
  <c r="A1027" i="2"/>
  <c r="C1026" i="2"/>
  <c r="A1026" i="2"/>
  <c r="C1025" i="2"/>
  <c r="A1025" i="2"/>
  <c r="C1024" i="2"/>
  <c r="A1024" i="2"/>
  <c r="C1023" i="2"/>
  <c r="A1023" i="2"/>
  <c r="C1022" i="2"/>
  <c r="A1022" i="2"/>
  <c r="C1021" i="2"/>
  <c r="A1021" i="2"/>
  <c r="C1020" i="2"/>
  <c r="A1020" i="2"/>
  <c r="C1019" i="2"/>
  <c r="A1019" i="2"/>
  <c r="C1018" i="2"/>
  <c r="A1018" i="2"/>
  <c r="C1017" i="2"/>
  <c r="A1017" i="2"/>
  <c r="C1016" i="2"/>
  <c r="A1016" i="2"/>
  <c r="C1015" i="2"/>
  <c r="A1015" i="2"/>
  <c r="C1014" i="2"/>
  <c r="A1014" i="2"/>
  <c r="C1013" i="2"/>
  <c r="A1013" i="2"/>
  <c r="C1012" i="2"/>
  <c r="A1012" i="2"/>
  <c r="C1011" i="2"/>
  <c r="A1011" i="2"/>
  <c r="C1010" i="2"/>
  <c r="A1010" i="2"/>
  <c r="C1009" i="2"/>
  <c r="A1009" i="2"/>
  <c r="C1008" i="2"/>
  <c r="A1008" i="2"/>
  <c r="C1007" i="2"/>
  <c r="A1007" i="2"/>
  <c r="C1006" i="2"/>
  <c r="A1006" i="2"/>
  <c r="C1005" i="2"/>
  <c r="A1005" i="2"/>
  <c r="C1004" i="2"/>
  <c r="A1004" i="2"/>
  <c r="C1003" i="2"/>
  <c r="A1003" i="2"/>
  <c r="C1002" i="2"/>
  <c r="A1002" i="2"/>
  <c r="C1001" i="2"/>
  <c r="A1001" i="2"/>
  <c r="C1000" i="2"/>
  <c r="A1000" i="2"/>
  <c r="C999" i="2"/>
  <c r="A999" i="2"/>
  <c r="C998" i="2"/>
  <c r="A998" i="2"/>
  <c r="C997" i="2"/>
  <c r="A997" i="2"/>
  <c r="C996" i="2"/>
  <c r="A996" i="2"/>
  <c r="C995" i="2"/>
  <c r="A995" i="2"/>
  <c r="C994" i="2"/>
  <c r="A994" i="2"/>
  <c r="C993" i="2"/>
  <c r="A993" i="2"/>
  <c r="C992" i="2"/>
  <c r="A992" i="2"/>
  <c r="C991" i="2"/>
  <c r="A991" i="2"/>
  <c r="C990" i="2"/>
  <c r="A990" i="2"/>
  <c r="C989" i="2"/>
  <c r="A989" i="2"/>
  <c r="C988" i="2"/>
  <c r="A988" i="2"/>
  <c r="C987" i="2"/>
  <c r="A987" i="2"/>
  <c r="C986" i="2"/>
  <c r="A986" i="2"/>
  <c r="C985" i="2"/>
  <c r="A985" i="2"/>
  <c r="C984" i="2"/>
  <c r="A984" i="2"/>
  <c r="C983" i="2"/>
  <c r="A983" i="2"/>
  <c r="C982" i="2"/>
  <c r="A982" i="2"/>
  <c r="C981" i="2"/>
  <c r="A981" i="2"/>
  <c r="C980" i="2"/>
  <c r="A980" i="2"/>
  <c r="C979" i="2"/>
  <c r="A979" i="2"/>
  <c r="C978" i="2"/>
  <c r="A978" i="2"/>
  <c r="C977" i="2"/>
  <c r="A977" i="2"/>
  <c r="C976" i="2"/>
  <c r="A976" i="2"/>
  <c r="C975" i="2"/>
  <c r="A975" i="2"/>
  <c r="C974" i="2"/>
  <c r="A974" i="2"/>
  <c r="C973" i="2"/>
  <c r="A973" i="2"/>
  <c r="C972" i="2"/>
  <c r="A972" i="2"/>
  <c r="C971" i="2"/>
  <c r="A971" i="2"/>
  <c r="A970" i="2"/>
  <c r="C969" i="2"/>
  <c r="A969" i="2"/>
  <c r="C968" i="2"/>
  <c r="A968" i="2"/>
  <c r="C967" i="2"/>
  <c r="A967" i="2"/>
  <c r="C966" i="2"/>
  <c r="A966" i="2"/>
  <c r="C965" i="2"/>
  <c r="A965" i="2"/>
  <c r="C964" i="2"/>
  <c r="A964" i="2"/>
  <c r="A963" i="2"/>
  <c r="A962" i="2"/>
  <c r="C961" i="2"/>
  <c r="A961" i="2"/>
  <c r="C960" i="2"/>
  <c r="A960" i="2"/>
  <c r="C959" i="2"/>
  <c r="A959" i="2"/>
  <c r="C958" i="2"/>
  <c r="A958" i="2"/>
  <c r="C957" i="2"/>
  <c r="A957" i="2"/>
  <c r="C956" i="2"/>
  <c r="A956" i="2"/>
  <c r="C955" i="2"/>
  <c r="A955" i="2"/>
  <c r="C954" i="2"/>
  <c r="A954" i="2"/>
  <c r="C953" i="2"/>
  <c r="A953" i="2"/>
  <c r="C952" i="2"/>
  <c r="A952" i="2"/>
  <c r="C951" i="2"/>
  <c r="A951" i="2"/>
  <c r="C950" i="2"/>
  <c r="A950" i="2"/>
  <c r="C949" i="2"/>
  <c r="A949" i="2"/>
  <c r="C948" i="2"/>
  <c r="A948" i="2"/>
  <c r="C947" i="2"/>
  <c r="A947" i="2"/>
  <c r="C946" i="2"/>
  <c r="A946" i="2"/>
  <c r="C945" i="2"/>
  <c r="A945" i="2"/>
  <c r="C944" i="2"/>
  <c r="A944" i="2"/>
  <c r="C943" i="2"/>
  <c r="A943" i="2"/>
  <c r="C942" i="2"/>
  <c r="A942" i="2"/>
  <c r="C941" i="2"/>
  <c r="A941" i="2"/>
  <c r="C940" i="2"/>
  <c r="A940" i="2"/>
  <c r="C939" i="2"/>
  <c r="A939" i="2"/>
  <c r="C938" i="2"/>
  <c r="A938" i="2"/>
  <c r="C937" i="2"/>
  <c r="A937" i="2"/>
  <c r="C936" i="2"/>
  <c r="A936" i="2"/>
  <c r="C935" i="2"/>
  <c r="A935" i="2"/>
  <c r="C934" i="2"/>
  <c r="A934" i="2"/>
  <c r="C933" i="2"/>
  <c r="A933" i="2"/>
  <c r="C932" i="2"/>
  <c r="A932" i="2"/>
  <c r="A931" i="2"/>
  <c r="C930" i="2"/>
  <c r="A930" i="2"/>
  <c r="C929" i="2"/>
  <c r="A929" i="2"/>
  <c r="C928" i="2"/>
  <c r="A928" i="2"/>
  <c r="C927" i="2"/>
  <c r="A927" i="2"/>
  <c r="C926" i="2"/>
  <c r="A926" i="2"/>
  <c r="C925" i="2"/>
  <c r="A925" i="2"/>
  <c r="C924" i="2"/>
  <c r="A924" i="2"/>
  <c r="C923" i="2"/>
  <c r="A923" i="2"/>
  <c r="C922" i="2"/>
  <c r="A922" i="2"/>
  <c r="C921" i="2"/>
  <c r="A921" i="2"/>
  <c r="C920" i="2"/>
  <c r="A920" i="2"/>
  <c r="C919" i="2"/>
  <c r="A919" i="2"/>
  <c r="C918" i="2"/>
  <c r="A918" i="2"/>
  <c r="C917" i="2"/>
  <c r="A917" i="2"/>
  <c r="C916" i="2"/>
  <c r="A916" i="2"/>
  <c r="C915" i="2"/>
  <c r="A915" i="2"/>
  <c r="C914" i="2"/>
  <c r="A914" i="2"/>
  <c r="C913" i="2"/>
  <c r="A913" i="2"/>
  <c r="C912" i="2"/>
  <c r="A912" i="2"/>
  <c r="C911" i="2"/>
  <c r="A911" i="2"/>
  <c r="C910" i="2"/>
  <c r="A910" i="2"/>
  <c r="C909" i="2"/>
  <c r="A909" i="2"/>
  <c r="C908" i="2"/>
  <c r="A908" i="2"/>
  <c r="C907" i="2"/>
  <c r="A907" i="2"/>
  <c r="C906" i="2"/>
  <c r="A906" i="2"/>
  <c r="C905" i="2"/>
  <c r="A905" i="2"/>
  <c r="C904" i="2"/>
  <c r="A904" i="2"/>
  <c r="C903" i="2"/>
  <c r="A903" i="2"/>
  <c r="C902" i="2"/>
  <c r="A902" i="2"/>
  <c r="C901" i="2"/>
  <c r="A901" i="2"/>
  <c r="C900" i="2"/>
  <c r="A900" i="2"/>
  <c r="C899" i="2"/>
  <c r="A899" i="2"/>
  <c r="C898" i="2"/>
  <c r="A898" i="2"/>
  <c r="C897" i="2"/>
  <c r="A897" i="2"/>
  <c r="C896" i="2"/>
  <c r="A896" i="2"/>
  <c r="C895" i="2"/>
  <c r="A895" i="2"/>
  <c r="C894" i="2"/>
  <c r="A894" i="2"/>
  <c r="C893" i="2"/>
  <c r="A893" i="2"/>
  <c r="C892" i="2"/>
  <c r="A892" i="2"/>
  <c r="C891" i="2"/>
  <c r="A891" i="2"/>
  <c r="A890" i="2"/>
  <c r="C889" i="2"/>
  <c r="A889" i="2"/>
  <c r="C888" i="2"/>
  <c r="A888" i="2"/>
  <c r="C887" i="2"/>
  <c r="A887" i="2"/>
  <c r="C886" i="2"/>
  <c r="A886" i="2"/>
  <c r="C885" i="2"/>
  <c r="A885" i="2"/>
  <c r="C884" i="2"/>
  <c r="A884" i="2"/>
  <c r="C883" i="2"/>
  <c r="A883" i="2"/>
  <c r="C882" i="2"/>
  <c r="A882" i="2"/>
  <c r="C881" i="2"/>
  <c r="A881" i="2"/>
  <c r="C880" i="2"/>
  <c r="A880" i="2"/>
  <c r="C879" i="2"/>
  <c r="A879" i="2"/>
  <c r="C878" i="2"/>
  <c r="A878" i="2"/>
  <c r="C877" i="2"/>
  <c r="A877" i="2"/>
  <c r="C876" i="2"/>
  <c r="A876" i="2"/>
  <c r="C875" i="2"/>
  <c r="A875" i="2"/>
  <c r="C874" i="2"/>
  <c r="A874" i="2"/>
  <c r="C873" i="2"/>
  <c r="A873" i="2"/>
  <c r="C872" i="2"/>
  <c r="A872" i="2"/>
  <c r="C871" i="2"/>
  <c r="A871" i="2"/>
  <c r="C870" i="2"/>
  <c r="A870" i="2"/>
  <c r="C869" i="2"/>
  <c r="A869" i="2"/>
  <c r="C868" i="2"/>
  <c r="A868" i="2"/>
  <c r="C867" i="2"/>
  <c r="A867" i="2"/>
  <c r="C866" i="2"/>
  <c r="A866" i="2"/>
  <c r="C865" i="2"/>
  <c r="A865" i="2"/>
  <c r="C864" i="2"/>
  <c r="A864" i="2"/>
  <c r="C863" i="2"/>
  <c r="A863" i="2"/>
  <c r="C862" i="2"/>
  <c r="A862" i="2"/>
  <c r="C861" i="2"/>
  <c r="A861" i="2"/>
  <c r="C860" i="2"/>
  <c r="A860" i="2"/>
  <c r="C859" i="2"/>
  <c r="A859" i="2"/>
  <c r="C858" i="2"/>
  <c r="A858" i="2"/>
  <c r="C857" i="2"/>
  <c r="A857" i="2"/>
  <c r="C856" i="2"/>
  <c r="A856" i="2"/>
  <c r="C855" i="2"/>
  <c r="A855" i="2"/>
  <c r="C854" i="2"/>
  <c r="A854" i="2"/>
  <c r="C853" i="2"/>
  <c r="A853" i="2"/>
  <c r="C852" i="2"/>
  <c r="A852" i="2"/>
  <c r="C851" i="2"/>
  <c r="A851" i="2"/>
  <c r="C850" i="2"/>
  <c r="A850" i="2"/>
  <c r="C849" i="2"/>
  <c r="A849" i="2"/>
  <c r="C848" i="2"/>
  <c r="A848" i="2"/>
  <c r="C847" i="2"/>
  <c r="A847" i="2"/>
  <c r="C846" i="2"/>
  <c r="A846" i="2"/>
  <c r="C845" i="2"/>
  <c r="A845" i="2"/>
  <c r="C844" i="2"/>
  <c r="A844" i="2"/>
  <c r="C843" i="2"/>
  <c r="A843" i="2"/>
  <c r="C842" i="2"/>
  <c r="A842" i="2"/>
  <c r="C841" i="2"/>
  <c r="A841" i="2"/>
  <c r="C840" i="2"/>
  <c r="A840" i="2"/>
  <c r="C839" i="2"/>
  <c r="A839" i="2"/>
  <c r="C838" i="2"/>
  <c r="A838" i="2"/>
  <c r="C837" i="2"/>
  <c r="A837" i="2"/>
  <c r="C836" i="2"/>
  <c r="A836" i="2"/>
  <c r="C835" i="2"/>
  <c r="A835" i="2"/>
  <c r="C834" i="2"/>
  <c r="A834" i="2"/>
  <c r="C833" i="2"/>
  <c r="A833" i="2"/>
  <c r="C832" i="2"/>
  <c r="A832" i="2"/>
  <c r="C831" i="2"/>
  <c r="A831" i="2"/>
  <c r="C830" i="2"/>
  <c r="A830" i="2"/>
  <c r="C829" i="2"/>
  <c r="A829" i="2"/>
  <c r="C828" i="2"/>
  <c r="A828" i="2"/>
  <c r="C827" i="2"/>
  <c r="A827" i="2"/>
  <c r="C826" i="2"/>
  <c r="A826" i="2"/>
  <c r="C825" i="2"/>
  <c r="A825" i="2"/>
  <c r="C824" i="2"/>
  <c r="A824" i="2"/>
  <c r="C823" i="2"/>
  <c r="A823" i="2"/>
  <c r="C822" i="2"/>
  <c r="A822" i="2"/>
  <c r="C821" i="2"/>
  <c r="A821" i="2"/>
  <c r="C820" i="2"/>
  <c r="A820" i="2"/>
  <c r="C819" i="2"/>
  <c r="A819" i="2"/>
  <c r="C818" i="2"/>
  <c r="A818" i="2"/>
  <c r="C817" i="2"/>
  <c r="A817" i="2"/>
  <c r="C816" i="2"/>
  <c r="A816" i="2"/>
  <c r="C815" i="2"/>
  <c r="A815" i="2"/>
  <c r="C814" i="2"/>
  <c r="A814" i="2"/>
  <c r="C813" i="2"/>
  <c r="A813" i="2"/>
  <c r="C812" i="2"/>
  <c r="A812" i="2"/>
  <c r="C811" i="2"/>
  <c r="A811" i="2"/>
  <c r="C810" i="2"/>
  <c r="A810" i="2"/>
  <c r="C809" i="2"/>
  <c r="A809" i="2"/>
  <c r="C808" i="2"/>
  <c r="A808" i="2"/>
  <c r="C807" i="2"/>
  <c r="A807" i="2"/>
  <c r="C806" i="2"/>
  <c r="A806" i="2"/>
  <c r="C805" i="2"/>
  <c r="A805" i="2"/>
  <c r="C804" i="2"/>
  <c r="A804" i="2"/>
  <c r="C803" i="2"/>
  <c r="A803" i="2"/>
  <c r="C802" i="2"/>
  <c r="A802" i="2"/>
  <c r="C801" i="2"/>
  <c r="A801" i="2"/>
  <c r="C800" i="2"/>
  <c r="A800" i="2"/>
  <c r="C799" i="2"/>
  <c r="A799" i="2"/>
  <c r="C798" i="2"/>
  <c r="A798" i="2"/>
  <c r="C797" i="2"/>
  <c r="A797" i="2"/>
  <c r="C796" i="2"/>
  <c r="A796" i="2"/>
  <c r="C795" i="2"/>
  <c r="A795" i="2"/>
  <c r="C794" i="2"/>
  <c r="A794" i="2"/>
  <c r="C793" i="2"/>
  <c r="A793" i="2"/>
  <c r="C792" i="2"/>
  <c r="A792" i="2"/>
  <c r="C791" i="2"/>
  <c r="A791" i="2"/>
  <c r="C790" i="2"/>
  <c r="A790" i="2"/>
  <c r="C789" i="2"/>
  <c r="A789" i="2"/>
  <c r="C788" i="2"/>
  <c r="A788" i="2"/>
  <c r="C787" i="2"/>
  <c r="A787" i="2"/>
  <c r="C786" i="2"/>
  <c r="A786" i="2"/>
  <c r="C785" i="2"/>
  <c r="A785" i="2"/>
  <c r="C784" i="2"/>
  <c r="A784" i="2"/>
  <c r="C783" i="2"/>
  <c r="A783" i="2"/>
  <c r="C782" i="2"/>
  <c r="A782" i="2"/>
  <c r="C781" i="2"/>
  <c r="A781" i="2"/>
  <c r="C780" i="2"/>
  <c r="A780" i="2"/>
  <c r="C779" i="2"/>
  <c r="A779" i="2"/>
  <c r="C778" i="2"/>
  <c r="A778" i="2"/>
  <c r="C777" i="2"/>
  <c r="A777" i="2"/>
  <c r="C776" i="2"/>
  <c r="A776" i="2"/>
  <c r="C775" i="2"/>
  <c r="A775" i="2"/>
  <c r="C774" i="2"/>
  <c r="A774" i="2"/>
  <c r="C773" i="2"/>
  <c r="A773" i="2"/>
  <c r="C772" i="2"/>
  <c r="A772" i="2"/>
  <c r="C771" i="2"/>
  <c r="A771" i="2"/>
  <c r="C770" i="2"/>
  <c r="A770" i="2"/>
  <c r="C769" i="2"/>
  <c r="A769" i="2"/>
  <c r="C768" i="2"/>
  <c r="A768" i="2"/>
  <c r="C767" i="2"/>
  <c r="A767" i="2"/>
  <c r="C766" i="2"/>
  <c r="A766" i="2"/>
  <c r="C765" i="2"/>
  <c r="A765" i="2"/>
  <c r="C764" i="2"/>
  <c r="A764" i="2"/>
  <c r="C763" i="2"/>
  <c r="A763" i="2"/>
  <c r="C762" i="2"/>
  <c r="A762" i="2"/>
  <c r="C761" i="2"/>
  <c r="A761" i="2"/>
  <c r="C760" i="2"/>
  <c r="A760" i="2"/>
  <c r="C759" i="2"/>
  <c r="A759" i="2"/>
  <c r="C758" i="2"/>
  <c r="A758" i="2"/>
  <c r="C757" i="2"/>
  <c r="A757" i="2"/>
  <c r="C756" i="2"/>
  <c r="A756" i="2"/>
  <c r="C755" i="2"/>
  <c r="A755" i="2"/>
  <c r="C754" i="2"/>
  <c r="A754" i="2"/>
  <c r="C753" i="2"/>
  <c r="A753" i="2"/>
  <c r="C752" i="2"/>
  <c r="A752" i="2"/>
  <c r="C751" i="2"/>
  <c r="A751" i="2"/>
  <c r="C750" i="2"/>
  <c r="A750" i="2"/>
  <c r="C749" i="2"/>
  <c r="A749" i="2"/>
  <c r="C748" i="2"/>
  <c r="A748" i="2"/>
  <c r="C747" i="2"/>
  <c r="A747" i="2"/>
  <c r="C746" i="2"/>
  <c r="A746" i="2"/>
  <c r="C745" i="2"/>
  <c r="A745" i="2"/>
  <c r="C744" i="2"/>
  <c r="A744" i="2"/>
  <c r="C743" i="2"/>
  <c r="A743" i="2"/>
  <c r="C742" i="2"/>
  <c r="A742" i="2"/>
  <c r="C741" i="2"/>
  <c r="A741" i="2"/>
  <c r="C740" i="2"/>
  <c r="A740" i="2"/>
  <c r="C739" i="2"/>
  <c r="A739" i="2"/>
  <c r="C738" i="2"/>
  <c r="A738" i="2"/>
  <c r="C737" i="2"/>
  <c r="A737" i="2"/>
  <c r="C736" i="2"/>
  <c r="A736" i="2"/>
  <c r="C735" i="2"/>
  <c r="A735" i="2"/>
  <c r="C734" i="2"/>
  <c r="A734" i="2"/>
  <c r="C733" i="2"/>
  <c r="A733" i="2"/>
  <c r="C732" i="2"/>
  <c r="A732" i="2"/>
  <c r="C731" i="2"/>
  <c r="A731" i="2"/>
  <c r="C730" i="2"/>
  <c r="A730" i="2"/>
  <c r="C729" i="2"/>
  <c r="A729" i="2"/>
  <c r="C728" i="2"/>
  <c r="A728" i="2"/>
  <c r="C727" i="2"/>
  <c r="A727" i="2"/>
  <c r="C726" i="2"/>
  <c r="A726" i="2"/>
  <c r="C725" i="2"/>
  <c r="A725" i="2"/>
  <c r="C724" i="2"/>
  <c r="A724" i="2"/>
  <c r="C723" i="2"/>
  <c r="A723" i="2"/>
  <c r="C722" i="2"/>
  <c r="A722" i="2"/>
  <c r="C721" i="2"/>
  <c r="A721" i="2"/>
  <c r="C720" i="2"/>
  <c r="A720" i="2"/>
  <c r="C719" i="2"/>
  <c r="A719" i="2"/>
  <c r="C718" i="2"/>
  <c r="A718" i="2"/>
  <c r="C717" i="2"/>
  <c r="A717" i="2"/>
  <c r="C716" i="2"/>
  <c r="A716" i="2"/>
  <c r="C715" i="2"/>
  <c r="A715" i="2"/>
  <c r="C714" i="2"/>
  <c r="A714" i="2"/>
  <c r="C713" i="2"/>
  <c r="A713" i="2"/>
  <c r="C712" i="2"/>
  <c r="A712" i="2"/>
  <c r="C711" i="2"/>
  <c r="A711" i="2"/>
  <c r="C710" i="2"/>
  <c r="A710" i="2"/>
  <c r="C709" i="2"/>
  <c r="A709" i="2"/>
  <c r="C708" i="2"/>
  <c r="A708" i="2"/>
  <c r="C707" i="2"/>
  <c r="A707" i="2"/>
  <c r="C706" i="2"/>
  <c r="A706" i="2"/>
  <c r="C705" i="2"/>
  <c r="A705" i="2"/>
  <c r="C704" i="2"/>
  <c r="A704" i="2"/>
  <c r="C703" i="2"/>
  <c r="A703" i="2"/>
  <c r="C702" i="2"/>
  <c r="A702" i="2"/>
  <c r="C701" i="2"/>
  <c r="A701" i="2"/>
  <c r="C700" i="2"/>
  <c r="A700" i="2"/>
  <c r="C699" i="2"/>
  <c r="A699" i="2"/>
  <c r="C698" i="2"/>
  <c r="A698" i="2"/>
  <c r="C697" i="2"/>
  <c r="A697" i="2"/>
  <c r="C696" i="2"/>
  <c r="A696" i="2"/>
  <c r="C695" i="2"/>
  <c r="A695" i="2"/>
  <c r="C694" i="2"/>
  <c r="A694" i="2"/>
  <c r="C693" i="2"/>
  <c r="A693" i="2"/>
  <c r="C692" i="2"/>
  <c r="A692" i="2"/>
  <c r="C691" i="2"/>
  <c r="A691" i="2"/>
  <c r="C690" i="2"/>
  <c r="A690" i="2"/>
  <c r="C689" i="2"/>
  <c r="A689" i="2"/>
  <c r="C688" i="2"/>
  <c r="A688" i="2"/>
  <c r="C687" i="2"/>
  <c r="A687" i="2"/>
  <c r="C686" i="2"/>
  <c r="A686" i="2"/>
  <c r="C685" i="2"/>
  <c r="A685" i="2"/>
  <c r="C684" i="2"/>
  <c r="A684" i="2"/>
  <c r="C683" i="2"/>
  <c r="A683" i="2"/>
  <c r="C682" i="2"/>
  <c r="A682" i="2"/>
  <c r="C681" i="2"/>
  <c r="A681" i="2"/>
  <c r="C680" i="2"/>
  <c r="A680" i="2"/>
  <c r="C679" i="2"/>
  <c r="A679" i="2"/>
  <c r="C678" i="2"/>
  <c r="A678" i="2"/>
  <c r="C677" i="2"/>
  <c r="A677" i="2"/>
  <c r="C676" i="2"/>
  <c r="A676" i="2"/>
  <c r="C675" i="2"/>
  <c r="A675" i="2"/>
  <c r="C674" i="2"/>
  <c r="A674" i="2"/>
  <c r="C673" i="2"/>
  <c r="A673" i="2"/>
  <c r="C672" i="2"/>
  <c r="A672" i="2"/>
  <c r="C671" i="2"/>
  <c r="A671" i="2"/>
  <c r="C670" i="2"/>
  <c r="A670" i="2"/>
  <c r="C669" i="2"/>
  <c r="A669" i="2"/>
  <c r="C668" i="2"/>
  <c r="A668" i="2"/>
  <c r="C667" i="2"/>
  <c r="A667" i="2"/>
  <c r="C666" i="2"/>
  <c r="A666" i="2"/>
  <c r="C665" i="2"/>
  <c r="A665" i="2"/>
  <c r="C664" i="2"/>
  <c r="A664" i="2"/>
  <c r="C663" i="2"/>
  <c r="A663" i="2"/>
  <c r="C662" i="2"/>
  <c r="A662" i="2"/>
  <c r="C661" i="2"/>
  <c r="A661" i="2"/>
  <c r="C660" i="2"/>
  <c r="A660" i="2"/>
  <c r="C659" i="2"/>
  <c r="A659" i="2"/>
  <c r="C658" i="2"/>
  <c r="A658" i="2"/>
  <c r="C657" i="2"/>
  <c r="A657" i="2"/>
  <c r="C656" i="2"/>
  <c r="A656" i="2"/>
  <c r="C655" i="2"/>
  <c r="A655" i="2"/>
  <c r="C654" i="2"/>
  <c r="A654" i="2"/>
  <c r="C653" i="2"/>
  <c r="A653" i="2"/>
  <c r="C652" i="2"/>
  <c r="A652" i="2"/>
  <c r="C651" i="2"/>
  <c r="A651" i="2"/>
  <c r="C650" i="2"/>
  <c r="A650" i="2"/>
  <c r="C649" i="2"/>
  <c r="A649" i="2"/>
  <c r="C648" i="2"/>
  <c r="A648" i="2"/>
  <c r="C647" i="2"/>
  <c r="A647" i="2"/>
  <c r="C646" i="2"/>
  <c r="A646" i="2"/>
  <c r="C645" i="2"/>
  <c r="A645" i="2"/>
  <c r="C644" i="2"/>
  <c r="A644" i="2"/>
  <c r="C643" i="2"/>
  <c r="A643" i="2"/>
  <c r="C642" i="2"/>
  <c r="A642" i="2"/>
  <c r="C641" i="2"/>
  <c r="A641" i="2"/>
  <c r="C640" i="2"/>
  <c r="A640" i="2"/>
  <c r="C639" i="2"/>
  <c r="A639" i="2"/>
  <c r="C638" i="2"/>
  <c r="A638" i="2"/>
  <c r="C637" i="2"/>
  <c r="A637" i="2"/>
  <c r="C636" i="2"/>
  <c r="A636" i="2"/>
  <c r="C635" i="2"/>
  <c r="A635" i="2"/>
  <c r="C634" i="2"/>
  <c r="A634" i="2"/>
  <c r="C633" i="2"/>
  <c r="A633" i="2"/>
  <c r="C632" i="2"/>
  <c r="A632" i="2"/>
  <c r="C631" i="2"/>
  <c r="A631" i="2"/>
  <c r="C630" i="2"/>
  <c r="A630" i="2"/>
  <c r="C629" i="2"/>
  <c r="A629" i="2"/>
  <c r="C628" i="2"/>
  <c r="A628" i="2"/>
  <c r="C627" i="2"/>
  <c r="A627" i="2"/>
  <c r="C626" i="2"/>
  <c r="A626" i="2"/>
  <c r="C625" i="2"/>
  <c r="A625" i="2"/>
  <c r="C624" i="2"/>
  <c r="A624" i="2"/>
  <c r="C623" i="2"/>
  <c r="A623" i="2"/>
  <c r="C622" i="2"/>
  <c r="A622" i="2"/>
  <c r="C621" i="2"/>
  <c r="A621" i="2"/>
  <c r="C620" i="2"/>
  <c r="A620" i="2"/>
  <c r="C619" i="2"/>
  <c r="A619" i="2"/>
  <c r="C618" i="2"/>
  <c r="A618" i="2"/>
  <c r="C617" i="2"/>
  <c r="A617" i="2"/>
  <c r="C616" i="2"/>
  <c r="A616" i="2"/>
  <c r="C615" i="2"/>
  <c r="A615" i="2"/>
  <c r="C614" i="2"/>
  <c r="A614" i="2"/>
  <c r="C613" i="2"/>
  <c r="A613" i="2"/>
  <c r="C612" i="2"/>
  <c r="A612" i="2"/>
  <c r="C611" i="2"/>
  <c r="A611" i="2"/>
  <c r="C610" i="2"/>
  <c r="A610" i="2"/>
  <c r="C609" i="2"/>
  <c r="A609" i="2"/>
  <c r="C608" i="2"/>
  <c r="A608" i="2"/>
  <c r="C607" i="2"/>
  <c r="A607" i="2"/>
  <c r="C606" i="2"/>
  <c r="A606" i="2"/>
  <c r="C605" i="2"/>
  <c r="A605" i="2"/>
  <c r="C604" i="2"/>
  <c r="A604" i="2"/>
  <c r="C603" i="2"/>
  <c r="A603" i="2"/>
  <c r="C602" i="2"/>
  <c r="A602" i="2"/>
  <c r="A601" i="2"/>
  <c r="C600" i="2"/>
  <c r="A600" i="2"/>
  <c r="C599" i="2"/>
  <c r="A599" i="2"/>
  <c r="C598" i="2"/>
  <c r="A598" i="2"/>
  <c r="C597" i="2"/>
  <c r="A597" i="2"/>
  <c r="C596" i="2"/>
  <c r="A596" i="2"/>
  <c r="C595" i="2"/>
  <c r="A595" i="2"/>
  <c r="C594" i="2"/>
  <c r="A594" i="2"/>
  <c r="C593" i="2"/>
  <c r="A593" i="2"/>
  <c r="C592" i="2"/>
  <c r="A592" i="2"/>
  <c r="C591" i="2"/>
  <c r="A591" i="2"/>
  <c r="C590" i="2"/>
  <c r="A590" i="2"/>
  <c r="C589" i="2"/>
  <c r="A589" i="2"/>
  <c r="C588" i="2"/>
  <c r="A588" i="2"/>
  <c r="C587" i="2"/>
  <c r="A587" i="2"/>
  <c r="C586" i="2"/>
  <c r="A586" i="2"/>
  <c r="C585" i="2"/>
  <c r="A585" i="2"/>
  <c r="C584" i="2"/>
  <c r="A584" i="2"/>
  <c r="C583" i="2"/>
  <c r="A583" i="2"/>
  <c r="C582" i="2"/>
  <c r="A582" i="2"/>
  <c r="C581" i="2"/>
  <c r="A581" i="2"/>
  <c r="C580" i="2"/>
  <c r="A580" i="2"/>
  <c r="C579" i="2"/>
  <c r="A579" i="2"/>
  <c r="C578" i="2"/>
  <c r="A578" i="2"/>
  <c r="C577" i="2"/>
  <c r="A577" i="2"/>
  <c r="C576" i="2"/>
  <c r="A576" i="2"/>
  <c r="C575" i="2"/>
  <c r="A575" i="2"/>
  <c r="C574" i="2"/>
  <c r="A574" i="2"/>
  <c r="C573" i="2"/>
  <c r="A573" i="2"/>
  <c r="C572" i="2"/>
  <c r="A572" i="2"/>
  <c r="C571" i="2"/>
  <c r="A571" i="2"/>
  <c r="C570" i="2"/>
  <c r="A570" i="2"/>
  <c r="C569" i="2"/>
  <c r="A569" i="2"/>
  <c r="C568" i="2"/>
  <c r="A568" i="2"/>
  <c r="C567" i="2"/>
  <c r="A567" i="2"/>
  <c r="C566" i="2"/>
  <c r="A566" i="2"/>
  <c r="C565" i="2"/>
  <c r="A565" i="2"/>
  <c r="C564" i="2"/>
  <c r="A564" i="2"/>
  <c r="C563" i="2"/>
  <c r="A563" i="2"/>
  <c r="C562" i="2"/>
  <c r="A562" i="2"/>
  <c r="C561" i="2"/>
  <c r="A561" i="2"/>
  <c r="C560" i="2"/>
  <c r="A560" i="2"/>
  <c r="C559" i="2"/>
  <c r="A559" i="2"/>
  <c r="C558" i="2"/>
  <c r="A558" i="2"/>
  <c r="C557" i="2"/>
  <c r="A557" i="2"/>
  <c r="C556" i="2"/>
  <c r="A556" i="2"/>
  <c r="C555" i="2"/>
  <c r="A555" i="2"/>
  <c r="C554" i="2"/>
  <c r="A554" i="2"/>
  <c r="C553" i="2"/>
  <c r="A553" i="2"/>
  <c r="C552" i="2"/>
  <c r="A552" i="2"/>
  <c r="C551" i="2"/>
  <c r="A551" i="2"/>
  <c r="C550" i="2"/>
  <c r="A550" i="2"/>
  <c r="C549" i="2"/>
  <c r="A549" i="2"/>
  <c r="C548" i="2"/>
  <c r="A548" i="2"/>
  <c r="C547" i="2"/>
  <c r="A547" i="2"/>
  <c r="C546" i="2"/>
  <c r="A546" i="2"/>
  <c r="C545" i="2"/>
  <c r="A545" i="2"/>
  <c r="C544" i="2"/>
  <c r="A544" i="2"/>
  <c r="C543" i="2"/>
  <c r="A543" i="2"/>
  <c r="C542" i="2"/>
  <c r="A542" i="2"/>
  <c r="C541" i="2"/>
  <c r="A541" i="2"/>
  <c r="C540" i="2"/>
  <c r="A540" i="2"/>
  <c r="C539" i="2"/>
  <c r="A539" i="2"/>
  <c r="C538" i="2"/>
  <c r="A538" i="2"/>
  <c r="C537" i="2"/>
  <c r="A537" i="2"/>
  <c r="C536" i="2"/>
  <c r="A536" i="2"/>
  <c r="C535" i="2"/>
  <c r="A535" i="2"/>
  <c r="C534" i="2"/>
  <c r="A534" i="2"/>
  <c r="C533" i="2"/>
  <c r="A533" i="2"/>
  <c r="C532" i="2"/>
  <c r="A532" i="2"/>
  <c r="C531" i="2"/>
  <c r="A531" i="2"/>
  <c r="C530" i="2"/>
  <c r="A530" i="2"/>
  <c r="C529" i="2"/>
  <c r="A529" i="2"/>
  <c r="C528" i="2"/>
  <c r="A528" i="2"/>
  <c r="C527" i="2"/>
  <c r="A527" i="2"/>
  <c r="C526" i="2"/>
  <c r="A526" i="2"/>
  <c r="C525" i="2"/>
  <c r="A525" i="2"/>
  <c r="C524" i="2"/>
  <c r="A524" i="2"/>
  <c r="C523" i="2"/>
  <c r="A523" i="2"/>
  <c r="C522" i="2"/>
  <c r="A522" i="2"/>
  <c r="C521" i="2"/>
  <c r="A521" i="2"/>
  <c r="C520" i="2"/>
  <c r="A520" i="2"/>
  <c r="C519" i="2"/>
  <c r="A519" i="2"/>
  <c r="C518" i="2"/>
  <c r="A518" i="2"/>
  <c r="C517" i="2"/>
  <c r="A517" i="2"/>
  <c r="C516" i="2"/>
  <c r="A516" i="2"/>
  <c r="C515" i="2"/>
  <c r="A515" i="2"/>
  <c r="C514" i="2"/>
  <c r="A514" i="2"/>
  <c r="C513" i="2"/>
  <c r="A513" i="2"/>
  <c r="C512" i="2"/>
  <c r="A512" i="2"/>
  <c r="C511" i="2"/>
  <c r="A511" i="2"/>
  <c r="C510" i="2"/>
  <c r="A510" i="2"/>
  <c r="C509" i="2"/>
  <c r="A509" i="2"/>
  <c r="A508" i="2"/>
  <c r="C507" i="2"/>
  <c r="A507" i="2"/>
  <c r="C506" i="2"/>
  <c r="A506" i="2"/>
  <c r="C505" i="2"/>
  <c r="A505" i="2"/>
  <c r="C504" i="2"/>
  <c r="A504" i="2"/>
  <c r="C503" i="2"/>
  <c r="A503" i="2"/>
  <c r="C502" i="2"/>
  <c r="A502" i="2"/>
  <c r="C501" i="2"/>
  <c r="A501" i="2"/>
  <c r="C500" i="2"/>
  <c r="A500" i="2"/>
  <c r="C499" i="2"/>
  <c r="A499" i="2"/>
  <c r="C498" i="2"/>
  <c r="A498" i="2"/>
  <c r="C497" i="2"/>
  <c r="A497" i="2"/>
  <c r="C496" i="2"/>
  <c r="A496" i="2"/>
  <c r="C495" i="2"/>
  <c r="A495" i="2"/>
  <c r="C494" i="2"/>
  <c r="A494" i="2"/>
  <c r="C493" i="2"/>
  <c r="A493" i="2"/>
  <c r="C492" i="2"/>
  <c r="A492" i="2"/>
  <c r="C491" i="2"/>
  <c r="A491" i="2"/>
  <c r="C490" i="2"/>
  <c r="A490" i="2"/>
  <c r="C489" i="2"/>
  <c r="A489" i="2"/>
  <c r="C488" i="2"/>
  <c r="A488" i="2"/>
  <c r="C487" i="2"/>
  <c r="A487" i="2"/>
  <c r="C486" i="2"/>
  <c r="A486" i="2"/>
  <c r="C485" i="2"/>
  <c r="A485" i="2"/>
  <c r="C484" i="2"/>
  <c r="A484" i="2"/>
  <c r="C483" i="2"/>
  <c r="A483" i="2"/>
  <c r="C482" i="2"/>
  <c r="A482" i="2"/>
  <c r="C481" i="2"/>
  <c r="A481" i="2"/>
  <c r="C480" i="2"/>
  <c r="A480" i="2"/>
  <c r="C479" i="2"/>
  <c r="A479" i="2"/>
  <c r="C478" i="2"/>
  <c r="A478" i="2"/>
  <c r="C477" i="2"/>
  <c r="A477" i="2"/>
  <c r="C476" i="2"/>
  <c r="A476" i="2"/>
  <c r="C475" i="2"/>
  <c r="A475" i="2"/>
  <c r="C474" i="2"/>
  <c r="A474" i="2"/>
  <c r="C473" i="2"/>
  <c r="A473" i="2"/>
  <c r="C472" i="2"/>
  <c r="A472" i="2"/>
  <c r="C471" i="2"/>
  <c r="A471" i="2"/>
  <c r="C470" i="2"/>
  <c r="A470" i="2"/>
  <c r="C469" i="2"/>
  <c r="A469" i="2"/>
  <c r="C468" i="2"/>
  <c r="A468" i="2"/>
  <c r="C467" i="2"/>
  <c r="A467" i="2"/>
  <c r="C466" i="2"/>
  <c r="A466" i="2"/>
  <c r="C465" i="2"/>
  <c r="A465" i="2"/>
  <c r="C464" i="2"/>
  <c r="A464" i="2"/>
  <c r="C463" i="2"/>
  <c r="A463" i="2"/>
  <c r="C462" i="2"/>
  <c r="A462" i="2"/>
  <c r="C461" i="2"/>
  <c r="A461" i="2"/>
  <c r="C460" i="2"/>
  <c r="A460" i="2"/>
  <c r="C459" i="2"/>
  <c r="A459" i="2"/>
  <c r="C458" i="2"/>
  <c r="A458" i="2"/>
  <c r="C457" i="2"/>
  <c r="A457" i="2"/>
  <c r="C456" i="2"/>
  <c r="A456" i="2"/>
  <c r="C455" i="2"/>
  <c r="A455" i="2"/>
  <c r="C454" i="2"/>
  <c r="A454" i="2"/>
  <c r="C453" i="2"/>
  <c r="A453" i="2"/>
  <c r="C452" i="2"/>
  <c r="A452" i="2"/>
  <c r="C451" i="2"/>
  <c r="A451" i="2"/>
  <c r="C450" i="2"/>
  <c r="A450" i="2"/>
  <c r="C449" i="2"/>
  <c r="A449" i="2"/>
  <c r="C448" i="2"/>
  <c r="A448" i="2"/>
  <c r="C447" i="2"/>
  <c r="A447" i="2"/>
  <c r="C446" i="2"/>
  <c r="A446" i="2"/>
  <c r="C445" i="2"/>
  <c r="A445" i="2"/>
  <c r="C444" i="2"/>
  <c r="A444" i="2"/>
  <c r="C443" i="2"/>
  <c r="A443" i="2"/>
  <c r="C442" i="2"/>
  <c r="A442" i="2"/>
  <c r="C441" i="2"/>
  <c r="A441" i="2"/>
  <c r="C440" i="2"/>
  <c r="A440" i="2"/>
  <c r="C439" i="2"/>
  <c r="A439" i="2"/>
  <c r="C438" i="2"/>
  <c r="A438" i="2"/>
  <c r="C437" i="2"/>
  <c r="A437" i="2"/>
  <c r="C436" i="2"/>
  <c r="A436" i="2"/>
  <c r="C435" i="2"/>
  <c r="A435" i="2"/>
  <c r="C434" i="2"/>
  <c r="A434" i="2"/>
  <c r="C433" i="2"/>
  <c r="A433" i="2"/>
  <c r="C432" i="2"/>
  <c r="A432" i="2"/>
  <c r="C431" i="2"/>
  <c r="A431" i="2"/>
  <c r="C430" i="2"/>
  <c r="A430" i="2"/>
  <c r="C429" i="2"/>
  <c r="A429" i="2"/>
  <c r="C428" i="2"/>
  <c r="A428" i="2"/>
  <c r="C427" i="2"/>
  <c r="A427" i="2"/>
  <c r="C426" i="2"/>
  <c r="A426" i="2"/>
  <c r="C425" i="2"/>
  <c r="A425" i="2"/>
  <c r="C424" i="2"/>
  <c r="A424" i="2"/>
  <c r="C423" i="2"/>
  <c r="A423" i="2"/>
  <c r="C422" i="2"/>
  <c r="A422" i="2"/>
  <c r="C421" i="2"/>
  <c r="A421" i="2"/>
  <c r="C420" i="2"/>
  <c r="A420" i="2"/>
  <c r="C419" i="2"/>
  <c r="A419" i="2"/>
  <c r="C418" i="2"/>
  <c r="A418" i="2"/>
  <c r="C417" i="2"/>
  <c r="A417" i="2"/>
  <c r="C416" i="2"/>
  <c r="A416" i="2"/>
  <c r="C415" i="2"/>
  <c r="A415" i="2"/>
  <c r="C414" i="2"/>
  <c r="A414" i="2"/>
  <c r="C413" i="2"/>
  <c r="A413" i="2"/>
  <c r="C412" i="2"/>
  <c r="A412" i="2"/>
  <c r="C411" i="2"/>
  <c r="A411" i="2"/>
  <c r="C410" i="2"/>
  <c r="A410" i="2"/>
  <c r="C409" i="2"/>
  <c r="A409" i="2"/>
  <c r="C408" i="2"/>
  <c r="A408" i="2"/>
  <c r="C407" i="2"/>
  <c r="A407" i="2"/>
  <c r="C406" i="2"/>
  <c r="A406" i="2"/>
  <c r="C405" i="2"/>
  <c r="A405" i="2"/>
  <c r="C404" i="2"/>
  <c r="A404" i="2"/>
  <c r="C403" i="2"/>
  <c r="A403" i="2"/>
  <c r="C402" i="2"/>
  <c r="A402" i="2"/>
  <c r="C401" i="2"/>
  <c r="A401" i="2"/>
  <c r="C400" i="2"/>
  <c r="A400" i="2"/>
  <c r="C399" i="2"/>
  <c r="A399" i="2"/>
  <c r="C398" i="2"/>
  <c r="A398" i="2"/>
  <c r="C397" i="2"/>
  <c r="A397" i="2"/>
  <c r="C396" i="2"/>
  <c r="A396" i="2"/>
  <c r="C395" i="2"/>
  <c r="A395" i="2"/>
  <c r="C394" i="2"/>
  <c r="A394" i="2"/>
  <c r="C393" i="2"/>
  <c r="A393" i="2"/>
  <c r="C392" i="2"/>
  <c r="A392" i="2"/>
  <c r="C391" i="2"/>
  <c r="A391" i="2"/>
  <c r="C390" i="2"/>
  <c r="A390" i="2"/>
  <c r="C389" i="2"/>
  <c r="A389" i="2"/>
  <c r="C388" i="2"/>
  <c r="A388" i="2"/>
  <c r="C387" i="2"/>
  <c r="A387" i="2"/>
  <c r="C386" i="2"/>
  <c r="A386" i="2"/>
  <c r="C385" i="2"/>
  <c r="A385" i="2"/>
  <c r="C384" i="2"/>
  <c r="A384" i="2"/>
  <c r="C383" i="2"/>
  <c r="A383" i="2"/>
  <c r="C382" i="2"/>
  <c r="A382" i="2"/>
  <c r="C381" i="2"/>
  <c r="A381" i="2"/>
  <c r="C380" i="2"/>
  <c r="A380" i="2"/>
  <c r="C379" i="2"/>
  <c r="A379" i="2"/>
  <c r="C378" i="2"/>
  <c r="A378" i="2"/>
  <c r="C377" i="2"/>
  <c r="A377" i="2"/>
  <c r="C376" i="2"/>
  <c r="A376" i="2"/>
  <c r="C375" i="2"/>
  <c r="A375" i="2"/>
  <c r="C374" i="2"/>
  <c r="A374" i="2"/>
  <c r="C373" i="2"/>
  <c r="A373" i="2"/>
  <c r="C372" i="2"/>
  <c r="A372" i="2"/>
  <c r="C371" i="2"/>
  <c r="A371" i="2"/>
  <c r="C370" i="2"/>
  <c r="A370" i="2"/>
  <c r="C369" i="2"/>
  <c r="A369" i="2"/>
  <c r="C368" i="2"/>
  <c r="A368" i="2"/>
  <c r="C367" i="2"/>
  <c r="A367" i="2"/>
  <c r="C366" i="2"/>
  <c r="A366" i="2"/>
  <c r="C365" i="2"/>
  <c r="A365" i="2"/>
  <c r="C364" i="2"/>
  <c r="A364" i="2"/>
  <c r="C363" i="2"/>
  <c r="A363" i="2"/>
  <c r="C362" i="2"/>
  <c r="A362" i="2"/>
  <c r="C361" i="2"/>
  <c r="A361" i="2"/>
  <c r="C360" i="2"/>
  <c r="A360" i="2"/>
  <c r="C359" i="2"/>
  <c r="A359" i="2"/>
  <c r="C358" i="2"/>
  <c r="A358" i="2"/>
  <c r="C357" i="2"/>
  <c r="A357" i="2"/>
  <c r="C356" i="2"/>
  <c r="A356" i="2"/>
  <c r="C355" i="2"/>
  <c r="A355" i="2"/>
  <c r="C354" i="2"/>
  <c r="A354" i="2"/>
  <c r="C353" i="2"/>
  <c r="A353" i="2"/>
  <c r="C352" i="2"/>
  <c r="A352" i="2"/>
  <c r="C351" i="2"/>
  <c r="A351" i="2"/>
  <c r="C350" i="2"/>
  <c r="A350" i="2"/>
  <c r="C349" i="2"/>
  <c r="A349" i="2"/>
  <c r="C348" i="2"/>
  <c r="A348" i="2"/>
  <c r="C347" i="2"/>
  <c r="A347" i="2"/>
  <c r="C346" i="2"/>
  <c r="A346" i="2"/>
  <c r="C345" i="2"/>
  <c r="A345" i="2"/>
  <c r="C344" i="2"/>
  <c r="A344" i="2"/>
  <c r="C343" i="2"/>
  <c r="A343" i="2"/>
  <c r="C342" i="2"/>
  <c r="A342" i="2"/>
  <c r="C341" i="2"/>
  <c r="A341" i="2"/>
  <c r="C340" i="2"/>
  <c r="A340" i="2"/>
  <c r="C339" i="2"/>
  <c r="A339" i="2"/>
  <c r="C338" i="2"/>
  <c r="A338" i="2"/>
  <c r="C337" i="2"/>
  <c r="A337" i="2"/>
  <c r="C336" i="2"/>
  <c r="A336" i="2"/>
  <c r="C335" i="2"/>
  <c r="A335" i="2"/>
  <c r="C334" i="2"/>
  <c r="A334" i="2"/>
  <c r="C333" i="2"/>
  <c r="A333" i="2"/>
  <c r="C332" i="2"/>
  <c r="A332" i="2"/>
  <c r="C331" i="2"/>
  <c r="A331" i="2"/>
  <c r="C330" i="2"/>
  <c r="A330" i="2"/>
  <c r="C329" i="2"/>
  <c r="A329" i="2"/>
  <c r="C328" i="2"/>
  <c r="A328" i="2"/>
  <c r="C327" i="2"/>
  <c r="A327" i="2"/>
  <c r="C326" i="2"/>
  <c r="A326" i="2"/>
  <c r="C325" i="2"/>
  <c r="A325" i="2"/>
  <c r="C324" i="2"/>
  <c r="A324" i="2"/>
  <c r="C323" i="2"/>
  <c r="A323" i="2"/>
  <c r="C322" i="2"/>
  <c r="A322" i="2"/>
  <c r="C321" i="2"/>
  <c r="A321" i="2"/>
  <c r="C320" i="2"/>
  <c r="A320" i="2"/>
  <c r="C319" i="2"/>
  <c r="A319" i="2"/>
  <c r="C318" i="2"/>
  <c r="A318" i="2"/>
  <c r="C317" i="2"/>
  <c r="A317" i="2"/>
  <c r="C316" i="2"/>
  <c r="A316" i="2"/>
  <c r="C315" i="2"/>
  <c r="A315" i="2"/>
  <c r="C314" i="2"/>
  <c r="A314" i="2"/>
  <c r="C313" i="2"/>
  <c r="A313" i="2"/>
  <c r="C312" i="2"/>
  <c r="A312" i="2"/>
  <c r="C311" i="2"/>
  <c r="A311" i="2"/>
  <c r="C310" i="2"/>
  <c r="A310" i="2"/>
  <c r="C309" i="2"/>
  <c r="A309" i="2"/>
  <c r="C308" i="2"/>
  <c r="A308" i="2"/>
  <c r="C307" i="2"/>
  <c r="A307" i="2"/>
  <c r="C306" i="2"/>
  <c r="A306" i="2"/>
  <c r="C305" i="2"/>
  <c r="A305" i="2"/>
  <c r="C304" i="2"/>
  <c r="A304" i="2"/>
  <c r="C303" i="2"/>
  <c r="A303" i="2"/>
  <c r="C302" i="2"/>
  <c r="A302" i="2"/>
  <c r="C301" i="2"/>
  <c r="A301" i="2"/>
  <c r="C300" i="2"/>
  <c r="A300" i="2"/>
  <c r="C299" i="2"/>
  <c r="A299" i="2"/>
  <c r="C298" i="2"/>
  <c r="A298" i="2"/>
  <c r="C297" i="2"/>
  <c r="A297" i="2"/>
  <c r="C296" i="2"/>
  <c r="A296" i="2"/>
  <c r="C295" i="2"/>
  <c r="A295" i="2"/>
  <c r="C294" i="2"/>
  <c r="A294" i="2"/>
  <c r="C293" i="2"/>
  <c r="A293" i="2"/>
  <c r="C292" i="2"/>
  <c r="A292" i="2"/>
  <c r="C291" i="2"/>
  <c r="A291" i="2"/>
  <c r="C290" i="2"/>
  <c r="A290" i="2"/>
  <c r="C289" i="2"/>
  <c r="A289" i="2"/>
  <c r="C288" i="2"/>
  <c r="A288" i="2"/>
  <c r="C287" i="2"/>
  <c r="A287" i="2"/>
  <c r="C286" i="2"/>
  <c r="A286" i="2"/>
  <c r="C285" i="2"/>
  <c r="A285" i="2"/>
  <c r="C284" i="2"/>
  <c r="A284" i="2"/>
  <c r="C283" i="2"/>
  <c r="A283" i="2"/>
  <c r="C282" i="2"/>
  <c r="A282" i="2"/>
  <c r="C281" i="2"/>
  <c r="A281" i="2"/>
  <c r="C280" i="2"/>
  <c r="A280" i="2"/>
  <c r="C279" i="2"/>
  <c r="A279" i="2"/>
  <c r="C278" i="2"/>
  <c r="A278" i="2"/>
  <c r="C277" i="2"/>
  <c r="A277" i="2"/>
  <c r="C276" i="2"/>
  <c r="A276" i="2"/>
  <c r="C275" i="2"/>
  <c r="A275" i="2"/>
  <c r="C274" i="2"/>
  <c r="A274" i="2"/>
  <c r="C273" i="2"/>
  <c r="A273" i="2"/>
  <c r="C272" i="2"/>
  <c r="A272" i="2"/>
  <c r="C271" i="2"/>
  <c r="A271" i="2"/>
  <c r="C270" i="2"/>
  <c r="A270" i="2"/>
  <c r="C269" i="2"/>
  <c r="A269" i="2"/>
  <c r="C268" i="2"/>
  <c r="A268" i="2"/>
  <c r="C267" i="2"/>
  <c r="A267" i="2"/>
  <c r="C266" i="2"/>
  <c r="A266" i="2"/>
  <c r="C265" i="2"/>
  <c r="A265" i="2"/>
  <c r="C264" i="2"/>
  <c r="A264" i="2"/>
  <c r="C263" i="2"/>
  <c r="A263" i="2"/>
  <c r="C262" i="2"/>
  <c r="A262" i="2"/>
  <c r="C261" i="2"/>
  <c r="A261" i="2"/>
  <c r="C260" i="2"/>
  <c r="A260" i="2"/>
  <c r="C259" i="2"/>
  <c r="A259" i="2"/>
  <c r="C258" i="2"/>
  <c r="A258" i="2"/>
  <c r="C257" i="2"/>
  <c r="A257" i="2"/>
  <c r="C256" i="2"/>
  <c r="A256" i="2"/>
  <c r="C255" i="2"/>
  <c r="A255" i="2"/>
  <c r="C254" i="2"/>
  <c r="A254" i="2"/>
  <c r="C253" i="2"/>
  <c r="A253" i="2"/>
  <c r="C252" i="2"/>
  <c r="A252" i="2"/>
  <c r="C251" i="2"/>
  <c r="A251" i="2"/>
  <c r="C250" i="2"/>
  <c r="A250" i="2"/>
  <c r="C249" i="2"/>
  <c r="A249" i="2"/>
  <c r="C248" i="2"/>
  <c r="A248" i="2"/>
  <c r="C247" i="2"/>
  <c r="A247" i="2"/>
  <c r="C246" i="2"/>
  <c r="A246" i="2"/>
  <c r="C245" i="2"/>
  <c r="A245" i="2"/>
  <c r="C244" i="2"/>
  <c r="A244" i="2"/>
  <c r="C243" i="2"/>
  <c r="A243" i="2"/>
  <c r="C242" i="2"/>
  <c r="A242" i="2"/>
  <c r="C241" i="2"/>
  <c r="A241" i="2"/>
  <c r="C240" i="2"/>
  <c r="A240" i="2"/>
  <c r="C239" i="2"/>
  <c r="A239" i="2"/>
  <c r="C238" i="2"/>
  <c r="A238" i="2"/>
  <c r="C237" i="2"/>
  <c r="A237" i="2"/>
  <c r="C236" i="2"/>
  <c r="A236" i="2"/>
  <c r="C235" i="2"/>
  <c r="A235" i="2"/>
  <c r="C234" i="2"/>
  <c r="A234" i="2"/>
  <c r="C233" i="2"/>
  <c r="A233" i="2"/>
  <c r="C232" i="2"/>
  <c r="A232" i="2"/>
  <c r="C231" i="2"/>
  <c r="A231" i="2"/>
  <c r="C230" i="2"/>
  <c r="A230" i="2"/>
  <c r="C229" i="2"/>
  <c r="A229" i="2"/>
  <c r="C228" i="2"/>
  <c r="A228" i="2"/>
  <c r="C227" i="2"/>
  <c r="A227" i="2"/>
  <c r="C226" i="2"/>
  <c r="A226" i="2"/>
  <c r="C225" i="2"/>
  <c r="A225" i="2"/>
  <c r="C224" i="2"/>
  <c r="A224" i="2"/>
  <c r="C223" i="2"/>
  <c r="A223" i="2"/>
  <c r="C222" i="2"/>
  <c r="A222" i="2"/>
  <c r="C221" i="2"/>
  <c r="A221" i="2"/>
  <c r="C220" i="2"/>
  <c r="A220" i="2"/>
  <c r="C219" i="2"/>
  <c r="A219" i="2"/>
  <c r="C218" i="2"/>
  <c r="A218" i="2"/>
  <c r="C217" i="2"/>
  <c r="A217" i="2"/>
  <c r="C216" i="2"/>
  <c r="A216" i="2"/>
  <c r="C215" i="2"/>
  <c r="A215" i="2"/>
  <c r="C214" i="2"/>
  <c r="A214" i="2"/>
  <c r="A213" i="2"/>
  <c r="C212" i="2"/>
  <c r="A212" i="2"/>
  <c r="C211" i="2"/>
  <c r="A211" i="2"/>
  <c r="C210" i="2"/>
  <c r="A210" i="2"/>
  <c r="C209" i="2"/>
  <c r="A209" i="2"/>
  <c r="C208" i="2"/>
  <c r="A208" i="2"/>
  <c r="C207" i="2"/>
  <c r="A207" i="2"/>
  <c r="C206" i="2"/>
  <c r="A206" i="2"/>
  <c r="C205" i="2"/>
  <c r="A205" i="2"/>
  <c r="C204" i="2"/>
  <c r="A204" i="2"/>
  <c r="C203" i="2"/>
  <c r="A203" i="2"/>
  <c r="C202" i="2"/>
  <c r="A202" i="2"/>
  <c r="C201" i="2"/>
  <c r="A201" i="2"/>
  <c r="C200" i="2"/>
  <c r="A200" i="2"/>
  <c r="C199" i="2"/>
  <c r="A199" i="2"/>
  <c r="C198" i="2"/>
  <c r="A198" i="2"/>
  <c r="C197" i="2"/>
  <c r="A197" i="2"/>
  <c r="C196" i="2"/>
  <c r="A196" i="2"/>
  <c r="C195" i="2"/>
  <c r="A195" i="2"/>
  <c r="C194" i="2"/>
  <c r="A194" i="2"/>
  <c r="C193" i="2"/>
  <c r="A193" i="2"/>
  <c r="C192" i="2"/>
  <c r="A192" i="2"/>
  <c r="C191" i="2"/>
  <c r="A191" i="2"/>
  <c r="C190" i="2"/>
  <c r="A190" i="2"/>
  <c r="C189" i="2"/>
  <c r="A189" i="2"/>
  <c r="C188" i="2"/>
  <c r="A188" i="2"/>
  <c r="C187" i="2"/>
  <c r="A187" i="2"/>
  <c r="C186" i="2"/>
  <c r="A186" i="2"/>
  <c r="C185" i="2"/>
  <c r="A185" i="2"/>
  <c r="C184" i="2"/>
  <c r="A184" i="2"/>
  <c r="C183" i="2"/>
  <c r="A183" i="2"/>
  <c r="C182" i="2"/>
  <c r="A182" i="2"/>
  <c r="C181" i="2"/>
  <c r="A181" i="2"/>
  <c r="C180" i="2"/>
  <c r="A180" i="2"/>
  <c r="C179" i="2"/>
  <c r="A179" i="2"/>
  <c r="C178" i="2"/>
  <c r="A178" i="2"/>
  <c r="C177" i="2"/>
  <c r="A177" i="2"/>
  <c r="C176" i="2"/>
  <c r="A176" i="2"/>
  <c r="C175" i="2"/>
  <c r="A175" i="2"/>
  <c r="C174" i="2"/>
  <c r="A174" i="2"/>
  <c r="C173" i="2"/>
  <c r="A173" i="2"/>
  <c r="C172" i="2"/>
  <c r="A172" i="2"/>
  <c r="C171" i="2"/>
  <c r="A171" i="2"/>
  <c r="C170" i="2"/>
  <c r="A170" i="2"/>
  <c r="C169" i="2"/>
  <c r="A169" i="2"/>
  <c r="C168" i="2"/>
  <c r="A168" i="2"/>
  <c r="C167" i="2"/>
  <c r="A167" i="2"/>
  <c r="C166" i="2"/>
  <c r="A166" i="2"/>
  <c r="C165" i="2"/>
  <c r="A165" i="2"/>
  <c r="C164" i="2"/>
  <c r="A164" i="2"/>
  <c r="C163" i="2"/>
  <c r="A163" i="2"/>
  <c r="C162" i="2"/>
  <c r="A162" i="2"/>
  <c r="C161" i="2"/>
  <c r="A161" i="2"/>
  <c r="C160" i="2"/>
  <c r="A160" i="2"/>
  <c r="C159" i="2"/>
  <c r="A159" i="2"/>
  <c r="C158" i="2"/>
  <c r="A158" i="2"/>
  <c r="C157" i="2"/>
  <c r="A157" i="2"/>
  <c r="C156" i="2"/>
  <c r="A156" i="2"/>
  <c r="C155" i="2"/>
  <c r="A155" i="2"/>
  <c r="C154" i="2"/>
  <c r="A154" i="2"/>
  <c r="C153" i="2"/>
  <c r="A153" i="2"/>
  <c r="C152" i="2"/>
  <c r="A152" i="2"/>
  <c r="C151" i="2"/>
  <c r="A151" i="2"/>
  <c r="C150" i="2"/>
  <c r="A150" i="2"/>
  <c r="C149" i="2"/>
  <c r="A149" i="2"/>
  <c r="C148" i="2"/>
  <c r="A148" i="2"/>
  <c r="C147" i="2"/>
  <c r="A147" i="2"/>
  <c r="C146" i="2"/>
  <c r="A146" i="2"/>
  <c r="C145" i="2"/>
  <c r="A145" i="2"/>
  <c r="C144" i="2"/>
  <c r="A144" i="2"/>
  <c r="C143" i="2"/>
  <c r="A143" i="2"/>
  <c r="C142" i="2"/>
  <c r="A142" i="2"/>
  <c r="C141" i="2"/>
  <c r="A141" i="2"/>
  <c r="C140" i="2"/>
  <c r="A140" i="2"/>
  <c r="C139" i="2"/>
  <c r="A139" i="2"/>
  <c r="C138" i="2"/>
  <c r="A138" i="2"/>
  <c r="C137" i="2"/>
  <c r="A137" i="2"/>
  <c r="C136" i="2"/>
  <c r="A136" i="2"/>
  <c r="C135" i="2"/>
  <c r="A135" i="2"/>
  <c r="C134" i="2"/>
  <c r="A134" i="2"/>
  <c r="C133" i="2"/>
  <c r="A133" i="2"/>
  <c r="C132" i="2"/>
  <c r="A132" i="2"/>
  <c r="C131" i="2"/>
  <c r="A131" i="2"/>
  <c r="C130" i="2"/>
  <c r="A130" i="2"/>
  <c r="C129" i="2"/>
  <c r="A129" i="2"/>
  <c r="C128" i="2"/>
  <c r="A128" i="2"/>
  <c r="C127" i="2"/>
  <c r="A127" i="2"/>
  <c r="C126" i="2"/>
  <c r="A126" i="2"/>
  <c r="C125" i="2"/>
  <c r="A125" i="2"/>
  <c r="C124" i="2"/>
  <c r="A124" i="2"/>
  <c r="C123" i="2"/>
  <c r="A123" i="2"/>
  <c r="C122" i="2"/>
  <c r="A122" i="2"/>
  <c r="C121" i="2"/>
  <c r="A121" i="2"/>
  <c r="C120" i="2"/>
  <c r="A120" i="2"/>
  <c r="C119" i="2"/>
  <c r="A119" i="2"/>
  <c r="C118" i="2"/>
  <c r="A118" i="2"/>
  <c r="C117" i="2"/>
  <c r="A117" i="2"/>
  <c r="C116" i="2"/>
  <c r="A116" i="2"/>
  <c r="C115" i="2"/>
  <c r="A115" i="2"/>
  <c r="C114" i="2"/>
  <c r="A114" i="2"/>
  <c r="C113" i="2"/>
  <c r="A113" i="2"/>
  <c r="C112" i="2"/>
  <c r="A112" i="2"/>
  <c r="C111" i="2"/>
  <c r="A111" i="2"/>
  <c r="C110" i="2"/>
  <c r="A110" i="2"/>
  <c r="C109" i="2"/>
  <c r="A109" i="2"/>
  <c r="C108" i="2"/>
  <c r="A108" i="2"/>
  <c r="C107" i="2"/>
  <c r="A107" i="2"/>
  <c r="C106" i="2"/>
  <c r="A106" i="2"/>
  <c r="C105" i="2"/>
  <c r="A105" i="2"/>
  <c r="C104" i="2"/>
  <c r="A104" i="2"/>
  <c r="C103" i="2"/>
  <c r="A103" i="2"/>
  <c r="C102" i="2"/>
  <c r="A102" i="2"/>
  <c r="C101" i="2"/>
  <c r="A101" i="2"/>
  <c r="C100" i="2"/>
  <c r="A100" i="2"/>
  <c r="C99" i="2"/>
  <c r="A99" i="2"/>
  <c r="C98" i="2"/>
  <c r="A98" i="2"/>
  <c r="C97" i="2"/>
  <c r="A97" i="2"/>
  <c r="C96" i="2"/>
  <c r="A96" i="2"/>
  <c r="C95" i="2"/>
  <c r="A95" i="2"/>
  <c r="C94" i="2"/>
  <c r="A94" i="2"/>
  <c r="C93" i="2"/>
  <c r="A93" i="2"/>
  <c r="C92" i="2"/>
  <c r="A92" i="2"/>
  <c r="C91" i="2"/>
  <c r="A91" i="2"/>
  <c r="C90" i="2"/>
  <c r="A90" i="2"/>
  <c r="C89" i="2"/>
  <c r="A89" i="2"/>
  <c r="C88" i="2"/>
  <c r="A88" i="2"/>
  <c r="C87" i="2"/>
  <c r="A87" i="2"/>
  <c r="C86" i="2"/>
  <c r="A86" i="2"/>
  <c r="C85" i="2"/>
  <c r="A85" i="2"/>
  <c r="C84" i="2"/>
  <c r="A84" i="2"/>
  <c r="C83" i="2"/>
  <c r="A83" i="2"/>
  <c r="C82" i="2"/>
  <c r="A82" i="2"/>
  <c r="C81" i="2"/>
  <c r="A81" i="2"/>
  <c r="C80" i="2"/>
  <c r="A80" i="2"/>
  <c r="C79" i="2"/>
  <c r="A79" i="2"/>
  <c r="C78" i="2"/>
  <c r="A78" i="2"/>
  <c r="C77" i="2"/>
  <c r="A77" i="2"/>
  <c r="C76" i="2"/>
  <c r="A76" i="2"/>
  <c r="C75" i="2"/>
  <c r="A75" i="2"/>
  <c r="C74" i="2"/>
  <c r="A74" i="2"/>
  <c r="C73" i="2"/>
  <c r="A73" i="2"/>
  <c r="C72" i="2"/>
  <c r="A72" i="2"/>
  <c r="C71" i="2"/>
  <c r="A71" i="2"/>
  <c r="C70" i="2"/>
  <c r="A70" i="2"/>
  <c r="C69" i="2"/>
  <c r="A69" i="2"/>
  <c r="C68" i="2"/>
  <c r="A68" i="2"/>
  <c r="C67" i="2"/>
  <c r="A67" i="2"/>
  <c r="C66" i="2"/>
  <c r="A66" i="2"/>
  <c r="C65" i="2"/>
  <c r="A65" i="2"/>
  <c r="C64" i="2"/>
  <c r="A64" i="2"/>
  <c r="C63" i="2"/>
  <c r="A63" i="2"/>
  <c r="C62" i="2"/>
  <c r="A62" i="2"/>
  <c r="C61" i="2"/>
  <c r="A61" i="2"/>
  <c r="C60" i="2"/>
  <c r="A60" i="2"/>
  <c r="C59" i="2"/>
  <c r="A59" i="2"/>
  <c r="C58" i="2"/>
  <c r="A58" i="2"/>
  <c r="C57" i="2"/>
  <c r="A57" i="2"/>
  <c r="C56" i="2"/>
  <c r="A56" i="2"/>
  <c r="C55" i="2"/>
  <c r="A55" i="2"/>
  <c r="C54" i="2"/>
  <c r="A54" i="2"/>
  <c r="C53" i="2"/>
  <c r="A53" i="2"/>
  <c r="C52" i="2"/>
  <c r="A52" i="2"/>
  <c r="C51" i="2"/>
  <c r="A51" i="2"/>
  <c r="C50" i="2"/>
  <c r="A50" i="2"/>
  <c r="C49" i="2"/>
  <c r="A49" i="2"/>
  <c r="C48" i="2"/>
  <c r="A48" i="2"/>
  <c r="C47" i="2"/>
  <c r="A47" i="2"/>
  <c r="C46" i="2"/>
  <c r="A46" i="2"/>
  <c r="C45" i="2"/>
  <c r="A45" i="2"/>
  <c r="C44" i="2"/>
  <c r="A44" i="2"/>
  <c r="C43" i="2"/>
  <c r="A43" i="2"/>
  <c r="C42" i="2"/>
  <c r="A42" i="2"/>
  <c r="C41" i="2"/>
  <c r="A41" i="2"/>
  <c r="C40" i="2"/>
  <c r="A40" i="2"/>
  <c r="C39" i="2"/>
  <c r="A39" i="2"/>
  <c r="C38" i="2"/>
  <c r="A38" i="2"/>
  <c r="C37" i="2"/>
  <c r="A37" i="2"/>
  <c r="C36" i="2"/>
  <c r="A36" i="2"/>
  <c r="C35" i="2"/>
  <c r="A35" i="2"/>
  <c r="C34" i="2"/>
  <c r="A34" i="2"/>
  <c r="C33" i="2"/>
  <c r="A33" i="2"/>
  <c r="C32" i="2"/>
  <c r="A32" i="2"/>
  <c r="C31" i="2"/>
  <c r="A31" i="2"/>
  <c r="C30" i="2"/>
  <c r="A30" i="2"/>
  <c r="C29" i="2"/>
  <c r="A29" i="2"/>
  <c r="C28" i="2"/>
  <c r="A28" i="2"/>
  <c r="C27" i="2"/>
  <c r="A27" i="2"/>
  <c r="C26" i="2"/>
  <c r="A26" i="2"/>
  <c r="C25" i="2"/>
  <c r="A25" i="2"/>
  <c r="C24" i="2"/>
  <c r="A24" i="2"/>
  <c r="C23" i="2"/>
  <c r="A23" i="2"/>
  <c r="C22" i="2"/>
  <c r="A22" i="2"/>
  <c r="C21" i="2"/>
  <c r="A21" i="2"/>
  <c r="C20" i="2"/>
  <c r="A20" i="2"/>
  <c r="C19" i="2"/>
  <c r="A19" i="2"/>
  <c r="C18" i="2"/>
  <c r="A18" i="2"/>
  <c r="A17" i="2"/>
  <c r="C16" i="2"/>
  <c r="A16" i="2"/>
  <c r="C15" i="2"/>
  <c r="A15" i="2"/>
  <c r="C14" i="2"/>
  <c r="A14" i="2"/>
  <c r="C13" i="2"/>
  <c r="A13" i="2"/>
  <c r="C12" i="2"/>
  <c r="A12" i="2"/>
  <c r="C9" i="2"/>
  <c r="A9" i="2"/>
  <c r="C8" i="2"/>
  <c r="A8" i="2"/>
  <c r="C11" i="2"/>
  <c r="A11" i="2"/>
  <c r="C10" i="2"/>
  <c r="A10" i="2"/>
  <c r="E359" i="1" l="1"/>
  <c r="D359" i="1"/>
  <c r="F359" i="1"/>
  <c r="G359" i="1"/>
  <c r="G358" i="1"/>
  <c r="D358" i="1"/>
  <c r="E358" i="1"/>
  <c r="F358" i="1"/>
  <c r="E357" i="1"/>
  <c r="F357" i="1"/>
  <c r="D357" i="1"/>
  <c r="G357" i="1"/>
  <c r="F356" i="1"/>
  <c r="G356" i="1"/>
  <c r="E356" i="1"/>
  <c r="D356" i="1"/>
  <c r="E355" i="1"/>
  <c r="F355" i="1"/>
  <c r="D355" i="1"/>
  <c r="G355" i="1"/>
  <c r="E354" i="1"/>
  <c r="D354" i="1"/>
  <c r="G354" i="1"/>
  <c r="F354" i="1"/>
  <c r="D353" i="1"/>
  <c r="G353" i="1"/>
  <c r="E353" i="1"/>
  <c r="F353" i="1"/>
  <c r="D352" i="1"/>
  <c r="F352" i="1"/>
  <c r="G352" i="1"/>
  <c r="E352" i="1"/>
  <c r="D351" i="1"/>
  <c r="E351" i="1"/>
  <c r="F351" i="1"/>
  <c r="G351" i="1"/>
  <c r="G350" i="1"/>
  <c r="D350" i="1"/>
  <c r="F350" i="1"/>
  <c r="E350" i="1"/>
  <c r="E349" i="1"/>
  <c r="D349" i="1"/>
  <c r="G349" i="1"/>
  <c r="F349" i="1"/>
  <c r="D348" i="1"/>
  <c r="G348" i="1"/>
  <c r="F348" i="1"/>
  <c r="E348" i="1"/>
  <c r="E347" i="1"/>
  <c r="F347" i="1"/>
  <c r="G347" i="1"/>
  <c r="D347" i="1"/>
  <c r="E346" i="1"/>
  <c r="F346" i="1"/>
  <c r="D346" i="1"/>
  <c r="G346" i="1"/>
  <c r="F345" i="1"/>
  <c r="E345" i="1"/>
  <c r="D345" i="1"/>
  <c r="G345" i="1"/>
  <c r="E344" i="1"/>
  <c r="G344" i="1"/>
  <c r="F344" i="1"/>
  <c r="D344" i="1"/>
  <c r="F343" i="1"/>
  <c r="E343" i="1"/>
  <c r="G343" i="1"/>
  <c r="D343" i="1"/>
  <c r="D342" i="1"/>
  <c r="E342" i="1"/>
  <c r="F342" i="1"/>
  <c r="G342" i="1"/>
  <c r="G341" i="1"/>
  <c r="F341" i="1"/>
  <c r="D341" i="1"/>
  <c r="E341" i="1"/>
  <c r="F339" i="1"/>
  <c r="G339" i="1"/>
  <c r="E339" i="1"/>
  <c r="D339" i="1"/>
  <c r="E338" i="1"/>
  <c r="D338" i="1"/>
  <c r="F338" i="1"/>
  <c r="G338" i="1"/>
  <c r="E337" i="1"/>
  <c r="F337" i="1"/>
  <c r="G337" i="1"/>
  <c r="D337" i="1"/>
  <c r="F336" i="1"/>
  <c r="G336" i="1"/>
  <c r="D336" i="1"/>
  <c r="E336" i="1"/>
  <c r="D335" i="1"/>
  <c r="E335" i="1"/>
  <c r="G335" i="1"/>
  <c r="F335" i="1"/>
  <c r="D334" i="1"/>
  <c r="G334" i="1"/>
  <c r="F334" i="1"/>
  <c r="E334" i="1"/>
  <c r="F333" i="1"/>
  <c r="G333" i="1"/>
  <c r="E333" i="1"/>
  <c r="D333" i="1"/>
  <c r="F332" i="1"/>
  <c r="D332" i="1"/>
  <c r="G332" i="1"/>
  <c r="E332" i="1"/>
  <c r="G330" i="1"/>
  <c r="E330" i="1"/>
  <c r="F330" i="1"/>
  <c r="D330" i="1"/>
  <c r="D327" i="1"/>
  <c r="E327" i="1"/>
  <c r="G327" i="1"/>
  <c r="F327" i="1"/>
  <c r="F326" i="1"/>
  <c r="D326" i="1"/>
  <c r="E326" i="1"/>
  <c r="G326" i="1"/>
  <c r="E325" i="1"/>
  <c r="G325" i="1"/>
  <c r="F325" i="1"/>
  <c r="D325" i="1"/>
  <c r="G324" i="1"/>
  <c r="D324" i="1"/>
  <c r="E324" i="1"/>
  <c r="F324" i="1"/>
  <c r="D323" i="1"/>
  <c r="F323" i="1"/>
  <c r="E323" i="1"/>
  <c r="G323" i="1"/>
  <c r="E322" i="1"/>
  <c r="D322" i="1"/>
  <c r="G322" i="1"/>
  <c r="F322" i="1"/>
  <c r="E321" i="1"/>
  <c r="F321" i="1"/>
  <c r="G321" i="1"/>
  <c r="D321" i="1"/>
  <c r="E320" i="1"/>
  <c r="D320" i="1"/>
  <c r="G320" i="1"/>
  <c r="F320" i="1"/>
  <c r="D319" i="1"/>
  <c r="G319" i="1"/>
  <c r="E319" i="1"/>
  <c r="F319" i="1"/>
  <c r="D318" i="1"/>
  <c r="E318" i="1"/>
  <c r="F318" i="1"/>
  <c r="G318" i="1"/>
  <c r="E317" i="1"/>
  <c r="F317" i="1"/>
  <c r="D317" i="1"/>
  <c r="G317" i="1"/>
  <c r="G316" i="1"/>
  <c r="E316" i="1"/>
  <c r="D316" i="1"/>
  <c r="F316" i="1"/>
  <c r="G315" i="1"/>
  <c r="E315" i="1"/>
  <c r="F315" i="1"/>
  <c r="D315" i="1"/>
  <c r="E314" i="1"/>
  <c r="F314" i="1"/>
  <c r="D314" i="1"/>
  <c r="G314" i="1"/>
  <c r="E313" i="1"/>
  <c r="D313" i="1"/>
  <c r="F313" i="1"/>
  <c r="G313" i="1"/>
  <c r="G312" i="1"/>
  <c r="E312" i="1"/>
  <c r="F312" i="1"/>
  <c r="D312" i="1"/>
  <c r="G311" i="1"/>
  <c r="F311" i="1"/>
  <c r="E311" i="1"/>
  <c r="D311" i="1"/>
  <c r="E310" i="1"/>
  <c r="F310" i="1"/>
  <c r="G310" i="1"/>
  <c r="D310" i="1"/>
  <c r="F309" i="1"/>
  <c r="D309" i="1"/>
  <c r="G309" i="1"/>
  <c r="E309" i="1"/>
  <c r="E308" i="1"/>
  <c r="G308" i="1"/>
  <c r="F308" i="1"/>
  <c r="D308" i="1"/>
  <c r="F307" i="1"/>
  <c r="G307" i="1"/>
  <c r="E307" i="1"/>
  <c r="D307" i="1"/>
  <c r="F306" i="1"/>
  <c r="G306" i="1"/>
  <c r="D306" i="1"/>
  <c r="E306" i="1"/>
  <c r="F305" i="1"/>
  <c r="E305" i="1"/>
  <c r="D305" i="1"/>
  <c r="G305" i="1"/>
  <c r="G304" i="1"/>
  <c r="F304" i="1"/>
  <c r="E304" i="1"/>
  <c r="D304" i="1"/>
  <c r="F303" i="1"/>
  <c r="E303" i="1"/>
  <c r="D303" i="1"/>
  <c r="G303" i="1"/>
  <c r="D302" i="1"/>
  <c r="G302" i="1"/>
  <c r="F302" i="1"/>
  <c r="E302" i="1"/>
  <c r="G301" i="1"/>
  <c r="F301" i="1"/>
  <c r="D301" i="1"/>
  <c r="E301" i="1"/>
  <c r="D300" i="1"/>
  <c r="F300" i="1"/>
  <c r="E300" i="1"/>
  <c r="G300" i="1"/>
  <c r="F299" i="1"/>
  <c r="G299" i="1"/>
  <c r="E299" i="1"/>
  <c r="D299" i="1"/>
  <c r="G298" i="1"/>
  <c r="F298" i="1"/>
  <c r="D298" i="1"/>
  <c r="E298" i="1"/>
  <c r="E296" i="1"/>
  <c r="D296" i="1"/>
  <c r="F296" i="1"/>
  <c r="G296" i="1"/>
  <c r="D295" i="1"/>
  <c r="F295" i="1"/>
  <c r="G295" i="1"/>
  <c r="E295" i="1"/>
  <c r="G294" i="1"/>
  <c r="F294" i="1"/>
  <c r="E294" i="1"/>
  <c r="D294" i="1"/>
  <c r="D293" i="1"/>
  <c r="E293" i="1"/>
  <c r="F293" i="1"/>
  <c r="G293" i="1"/>
  <c r="G292" i="1"/>
  <c r="F292" i="1"/>
  <c r="E292" i="1"/>
  <c r="D292" i="1"/>
  <c r="D291" i="1"/>
  <c r="F291" i="1"/>
  <c r="G291" i="1"/>
  <c r="E291" i="1"/>
  <c r="G290" i="1"/>
  <c r="D290" i="1"/>
  <c r="E290" i="1"/>
  <c r="F290" i="1"/>
  <c r="E289" i="1"/>
  <c r="D289" i="1"/>
  <c r="G289" i="1"/>
  <c r="F289" i="1"/>
  <c r="E288" i="1"/>
  <c r="F288" i="1"/>
  <c r="G288" i="1"/>
  <c r="D288" i="1"/>
  <c r="D287" i="1"/>
  <c r="E287" i="1"/>
  <c r="F287" i="1"/>
  <c r="G287" i="1"/>
  <c r="E286" i="1"/>
  <c r="D286" i="1"/>
  <c r="G286" i="1"/>
  <c r="F286" i="1"/>
  <c r="D285" i="1"/>
  <c r="E285" i="1"/>
  <c r="G285" i="1"/>
  <c r="F285" i="1"/>
  <c r="G284" i="1"/>
  <c r="E284" i="1"/>
  <c r="F284" i="1"/>
  <c r="D284" i="1"/>
  <c r="E283" i="1"/>
  <c r="D283" i="1"/>
  <c r="G283" i="1"/>
  <c r="F283" i="1"/>
  <c r="D282" i="1"/>
  <c r="G282" i="1"/>
  <c r="F282" i="1"/>
  <c r="E282" i="1"/>
  <c r="E280" i="1"/>
  <c r="D280" i="1"/>
  <c r="G280" i="1"/>
  <c r="F280" i="1"/>
  <c r="F279" i="1"/>
  <c r="D279" i="1"/>
  <c r="E279" i="1"/>
  <c r="G279" i="1"/>
  <c r="G278" i="1"/>
  <c r="F278" i="1"/>
  <c r="E278" i="1"/>
  <c r="D278" i="1"/>
  <c r="G277" i="1"/>
  <c r="F277" i="1"/>
  <c r="E277" i="1"/>
  <c r="D277" i="1"/>
  <c r="F276" i="1"/>
  <c r="D276" i="1"/>
  <c r="G276" i="1"/>
  <c r="E276" i="1"/>
  <c r="F275" i="1"/>
  <c r="G275" i="1"/>
  <c r="E275" i="1"/>
  <c r="D275" i="1"/>
  <c r="E274" i="1"/>
  <c r="F274" i="1"/>
  <c r="G274" i="1"/>
  <c r="D274" i="1"/>
  <c r="F273" i="1"/>
  <c r="E273" i="1"/>
  <c r="G273" i="1"/>
  <c r="D273" i="1"/>
  <c r="E272" i="1"/>
  <c r="F272" i="1"/>
  <c r="G272" i="1"/>
  <c r="D272" i="1"/>
  <c r="E271" i="1"/>
  <c r="D271" i="1"/>
  <c r="F271" i="1"/>
  <c r="G271" i="1"/>
  <c r="E270" i="1"/>
  <c r="D270" i="1"/>
  <c r="G270" i="1"/>
  <c r="F270" i="1"/>
  <c r="F269" i="1"/>
  <c r="E269" i="1"/>
  <c r="D269" i="1"/>
  <c r="G269" i="1"/>
  <c r="E268" i="1"/>
  <c r="F268" i="1"/>
  <c r="G268" i="1"/>
  <c r="D268" i="1"/>
  <c r="D267" i="1"/>
  <c r="G267" i="1"/>
  <c r="F267" i="1"/>
  <c r="E267" i="1"/>
  <c r="E266" i="1"/>
  <c r="F266" i="1"/>
  <c r="G266" i="1"/>
  <c r="D266" i="1"/>
  <c r="E265" i="1"/>
  <c r="G265" i="1"/>
  <c r="F265" i="1"/>
  <c r="D265" i="1"/>
  <c r="F264" i="1"/>
  <c r="E264" i="1"/>
  <c r="G264" i="1"/>
  <c r="D264" i="1"/>
  <c r="G263" i="1"/>
  <c r="F263" i="1"/>
  <c r="E263" i="1"/>
  <c r="D263" i="1"/>
  <c r="F262" i="1"/>
  <c r="D262" i="1"/>
  <c r="G262" i="1"/>
  <c r="E262" i="1"/>
  <c r="G261" i="1"/>
  <c r="D261" i="1"/>
  <c r="E261" i="1"/>
  <c r="F261" i="1"/>
  <c r="F260" i="1"/>
  <c r="E260" i="1"/>
  <c r="D260" i="1"/>
  <c r="G260" i="1"/>
  <c r="G259" i="1"/>
  <c r="F259" i="1"/>
  <c r="E259" i="1"/>
  <c r="D259" i="1"/>
  <c r="G258" i="1"/>
  <c r="F258" i="1"/>
  <c r="D258" i="1"/>
  <c r="E258" i="1"/>
  <c r="F257" i="1"/>
  <c r="G257" i="1"/>
  <c r="E257" i="1"/>
  <c r="D257" i="1"/>
  <c r="E256" i="1"/>
  <c r="D256" i="1"/>
  <c r="F256" i="1"/>
  <c r="G256" i="1"/>
  <c r="D255" i="1"/>
  <c r="E255" i="1"/>
  <c r="G255" i="1"/>
  <c r="F255" i="1"/>
  <c r="D254" i="1"/>
  <c r="E254" i="1"/>
  <c r="G254" i="1"/>
  <c r="F254" i="1"/>
  <c r="D253" i="1"/>
  <c r="G253" i="1"/>
  <c r="F253" i="1"/>
  <c r="E253" i="1"/>
  <c r="E252" i="1"/>
  <c r="G252" i="1"/>
  <c r="D252" i="1"/>
  <c r="F252" i="1"/>
  <c r="D251" i="1"/>
  <c r="F251" i="1"/>
  <c r="G251" i="1"/>
  <c r="E251" i="1"/>
  <c r="D249" i="1"/>
  <c r="E249" i="1"/>
  <c r="G249" i="1"/>
  <c r="F249" i="1"/>
  <c r="D248" i="1"/>
  <c r="G248" i="1"/>
  <c r="F248" i="1"/>
  <c r="E248" i="1"/>
  <c r="G247" i="1"/>
  <c r="E247" i="1"/>
  <c r="F247" i="1"/>
  <c r="D247" i="1"/>
  <c r="F246" i="1"/>
  <c r="G246" i="1"/>
  <c r="E246" i="1"/>
  <c r="D246" i="1"/>
  <c r="F245" i="1"/>
  <c r="G245" i="1"/>
  <c r="E245" i="1"/>
  <c r="D245" i="1"/>
  <c r="G244" i="1"/>
  <c r="F244" i="1"/>
  <c r="E244" i="1"/>
  <c r="D244" i="1"/>
  <c r="E243" i="1"/>
  <c r="D243" i="1"/>
  <c r="F243" i="1"/>
  <c r="G243" i="1"/>
  <c r="G242" i="1"/>
  <c r="E242" i="1"/>
  <c r="F242" i="1"/>
  <c r="D242" i="1"/>
  <c r="G241" i="1"/>
  <c r="F241" i="1"/>
  <c r="E241" i="1"/>
  <c r="D241" i="1"/>
  <c r="G240" i="1"/>
  <c r="F240" i="1"/>
  <c r="D240" i="1"/>
  <c r="E240" i="1"/>
  <c r="E239" i="1"/>
  <c r="G239" i="1"/>
  <c r="D239" i="1"/>
  <c r="F239" i="1"/>
  <c r="F238" i="1"/>
  <c r="G238" i="1"/>
  <c r="E238" i="1"/>
  <c r="D238" i="1"/>
  <c r="E237" i="1"/>
  <c r="F237" i="1"/>
  <c r="D237" i="1"/>
  <c r="G237" i="1"/>
  <c r="E236" i="1"/>
  <c r="F236" i="1"/>
  <c r="G236" i="1"/>
  <c r="D236" i="1"/>
  <c r="E235" i="1"/>
  <c r="F235" i="1"/>
  <c r="G235" i="1"/>
  <c r="D235" i="1"/>
  <c r="D234" i="1"/>
  <c r="E234" i="1"/>
  <c r="G234" i="1"/>
  <c r="F234" i="1"/>
  <c r="G233" i="1"/>
  <c r="E233" i="1"/>
  <c r="D233" i="1"/>
  <c r="F233" i="1"/>
  <c r="F232" i="1"/>
  <c r="G232" i="1"/>
  <c r="D232" i="1"/>
  <c r="E232" i="1"/>
  <c r="D231" i="1"/>
  <c r="G231" i="1"/>
  <c r="F231" i="1"/>
  <c r="E231" i="1"/>
  <c r="E230" i="1"/>
  <c r="D230" i="1"/>
  <c r="G230" i="1"/>
  <c r="F230" i="1"/>
  <c r="E229" i="1"/>
  <c r="D229" i="1"/>
  <c r="F229" i="1"/>
  <c r="G229" i="1"/>
  <c r="D228" i="1"/>
  <c r="E228" i="1"/>
  <c r="F228" i="1"/>
  <c r="G228" i="1"/>
  <c r="F227" i="1"/>
  <c r="G227" i="1"/>
  <c r="E227" i="1"/>
  <c r="D227" i="1"/>
  <c r="D226" i="1"/>
  <c r="G226" i="1"/>
  <c r="E226" i="1"/>
  <c r="F226" i="1"/>
  <c r="G225" i="1"/>
  <c r="D225" i="1"/>
  <c r="F225" i="1"/>
  <c r="E225" i="1"/>
  <c r="F224" i="1"/>
  <c r="D224" i="1"/>
  <c r="G224" i="1"/>
  <c r="E224" i="1"/>
  <c r="E223" i="1"/>
  <c r="F223" i="1"/>
  <c r="G223" i="1"/>
  <c r="D223" i="1"/>
  <c r="F221" i="1"/>
  <c r="D221" i="1"/>
  <c r="G221" i="1"/>
  <c r="E221" i="1"/>
  <c r="E220" i="1"/>
  <c r="F220" i="1"/>
  <c r="G220" i="1"/>
  <c r="D220" i="1"/>
  <c r="G219" i="1"/>
  <c r="E219" i="1"/>
  <c r="D219" i="1"/>
  <c r="F219" i="1"/>
  <c r="D218" i="1"/>
  <c r="F218" i="1"/>
  <c r="G218" i="1"/>
  <c r="E218" i="1"/>
  <c r="G217" i="1"/>
  <c r="F217" i="1"/>
  <c r="D217" i="1"/>
  <c r="E217" i="1"/>
  <c r="G216" i="1"/>
  <c r="D216" i="1"/>
  <c r="F216" i="1"/>
  <c r="E216" i="1"/>
  <c r="D215" i="1"/>
  <c r="G215" i="1"/>
  <c r="F215" i="1"/>
  <c r="E215" i="1"/>
  <c r="G214" i="1"/>
  <c r="E214" i="1"/>
  <c r="D214" i="1"/>
  <c r="F214" i="1"/>
  <c r="F213" i="1"/>
  <c r="G213" i="1"/>
  <c r="E213" i="1"/>
  <c r="D213" i="1"/>
  <c r="E212" i="1"/>
  <c r="F212" i="1"/>
  <c r="G212" i="1"/>
  <c r="D212" i="1"/>
  <c r="E211" i="1"/>
  <c r="F211" i="1"/>
  <c r="G211" i="1"/>
  <c r="D211" i="1"/>
  <c r="F210" i="1"/>
  <c r="E210" i="1"/>
  <c r="G210" i="1"/>
  <c r="D210" i="1"/>
  <c r="E209" i="1"/>
  <c r="G209" i="1"/>
  <c r="D209" i="1"/>
  <c r="F209" i="1"/>
  <c r="D208" i="1"/>
  <c r="E208" i="1"/>
  <c r="F208" i="1"/>
  <c r="G208" i="1"/>
  <c r="E207" i="1"/>
  <c r="F207" i="1"/>
  <c r="G207" i="1"/>
  <c r="D207" i="1"/>
  <c r="E206" i="1"/>
  <c r="G206" i="1"/>
  <c r="D206" i="1"/>
  <c r="F206" i="1"/>
  <c r="E205" i="1"/>
  <c r="F205" i="1"/>
  <c r="G205" i="1"/>
  <c r="D205" i="1"/>
  <c r="G204" i="1"/>
  <c r="F204" i="1"/>
  <c r="E204" i="1"/>
  <c r="D204" i="1"/>
  <c r="E203" i="1"/>
  <c r="F203" i="1"/>
  <c r="G203" i="1"/>
  <c r="D203" i="1"/>
  <c r="E202" i="1"/>
  <c r="G202" i="1"/>
  <c r="F202" i="1"/>
  <c r="D202" i="1"/>
  <c r="F201" i="1"/>
  <c r="D201" i="1"/>
  <c r="E201" i="1"/>
  <c r="G201" i="1"/>
  <c r="F200" i="1"/>
  <c r="D200" i="1"/>
  <c r="E200" i="1"/>
  <c r="G200" i="1"/>
  <c r="F199" i="1"/>
  <c r="D199" i="1"/>
  <c r="E199" i="1"/>
  <c r="G199" i="1"/>
  <c r="G198" i="1"/>
  <c r="D198" i="1"/>
  <c r="E198" i="1"/>
  <c r="F198" i="1"/>
  <c r="G197" i="1"/>
  <c r="E197" i="1"/>
  <c r="F197" i="1"/>
  <c r="D197" i="1"/>
  <c r="D196" i="1"/>
  <c r="F196" i="1"/>
  <c r="E196" i="1"/>
  <c r="G196" i="1"/>
  <c r="F195" i="1"/>
  <c r="G195" i="1"/>
  <c r="E195" i="1"/>
  <c r="D195" i="1"/>
  <c r="F194" i="1"/>
  <c r="D194" i="1"/>
  <c r="E194" i="1"/>
  <c r="G194" i="1"/>
  <c r="E193" i="1"/>
  <c r="G193" i="1"/>
  <c r="F193" i="1"/>
  <c r="D193" i="1"/>
  <c r="E192" i="1"/>
  <c r="G192" i="1"/>
  <c r="D192" i="1"/>
  <c r="F192" i="1"/>
  <c r="G191" i="1"/>
  <c r="F191" i="1"/>
  <c r="D191" i="1"/>
  <c r="E191" i="1"/>
  <c r="E190" i="1"/>
  <c r="F190" i="1"/>
  <c r="D190" i="1"/>
  <c r="G190" i="1"/>
  <c r="E189" i="1"/>
  <c r="G189" i="1"/>
  <c r="D189" i="1"/>
  <c r="F189" i="1"/>
  <c r="F188" i="1"/>
  <c r="G188" i="1"/>
  <c r="E188" i="1"/>
  <c r="D188" i="1"/>
  <c r="D187" i="1"/>
  <c r="F187" i="1"/>
  <c r="G187" i="1"/>
  <c r="E187" i="1"/>
  <c r="G186" i="1"/>
  <c r="F186" i="1"/>
  <c r="E186" i="1"/>
  <c r="D186" i="1"/>
  <c r="G185" i="1"/>
  <c r="F185" i="1"/>
  <c r="E185" i="1"/>
  <c r="D185" i="1"/>
  <c r="F184" i="1"/>
  <c r="E184" i="1"/>
  <c r="D184" i="1"/>
  <c r="G184" i="1"/>
  <c r="G183" i="1"/>
  <c r="F183" i="1"/>
  <c r="D183" i="1"/>
  <c r="E183" i="1"/>
  <c r="F182" i="1"/>
  <c r="G182" i="1"/>
  <c r="D182" i="1"/>
  <c r="E182" i="1"/>
  <c r="D181" i="1"/>
  <c r="G181" i="1"/>
  <c r="E181" i="1"/>
  <c r="F181" i="1"/>
  <c r="F180" i="1"/>
  <c r="G180" i="1"/>
  <c r="E180" i="1"/>
  <c r="D180" i="1"/>
  <c r="D179" i="1"/>
  <c r="F179" i="1"/>
  <c r="E179" i="1"/>
  <c r="G179" i="1"/>
  <c r="D178" i="1"/>
  <c r="G178" i="1"/>
  <c r="E178" i="1"/>
  <c r="F178" i="1"/>
  <c r="E177" i="1"/>
  <c r="F177" i="1"/>
  <c r="G177" i="1"/>
  <c r="D177" i="1"/>
  <c r="G176" i="1"/>
  <c r="F176" i="1"/>
  <c r="E176" i="1"/>
  <c r="D176" i="1"/>
  <c r="E175" i="1"/>
  <c r="G175" i="1"/>
  <c r="D175" i="1"/>
  <c r="F175" i="1"/>
  <c r="G174" i="1"/>
  <c r="D174" i="1"/>
  <c r="E174" i="1"/>
  <c r="F174" i="1"/>
  <c r="F173" i="1"/>
  <c r="D173" i="1"/>
  <c r="G173" i="1"/>
  <c r="E173" i="1"/>
  <c r="G172" i="1"/>
  <c r="D172" i="1"/>
  <c r="F172" i="1"/>
  <c r="E172" i="1"/>
  <c r="F171" i="1"/>
  <c r="G171" i="1"/>
  <c r="E171" i="1"/>
  <c r="D171" i="1"/>
  <c r="G170" i="1"/>
  <c r="E170" i="1"/>
  <c r="F170" i="1"/>
  <c r="D170" i="1"/>
  <c r="G169" i="1"/>
  <c r="E169" i="1"/>
  <c r="D169" i="1"/>
  <c r="F169" i="1"/>
  <c r="F168" i="1"/>
  <c r="D168" i="1"/>
  <c r="E168" i="1"/>
  <c r="G168" i="1"/>
  <c r="F167" i="1"/>
  <c r="E167" i="1"/>
  <c r="D167" i="1"/>
  <c r="G167" i="1"/>
  <c r="G166" i="1"/>
  <c r="F166" i="1"/>
  <c r="E166" i="1"/>
  <c r="D166" i="1"/>
  <c r="D165" i="1"/>
  <c r="F165" i="1"/>
  <c r="G165" i="1"/>
  <c r="E165" i="1"/>
  <c r="E164" i="1"/>
  <c r="G164" i="1"/>
  <c r="F164" i="1"/>
  <c r="D164" i="1"/>
  <c r="G163" i="1"/>
  <c r="D163" i="1"/>
  <c r="E163" i="1"/>
  <c r="F163" i="1"/>
  <c r="F162" i="1"/>
  <c r="D162" i="1"/>
  <c r="G162" i="1"/>
  <c r="E162" i="1"/>
  <c r="G161" i="1"/>
  <c r="E161" i="1"/>
  <c r="D161" i="1"/>
  <c r="F161" i="1"/>
  <c r="E160" i="1"/>
  <c r="F160" i="1"/>
  <c r="G160" i="1"/>
  <c r="D160" i="1"/>
  <c r="E159" i="1"/>
  <c r="D159" i="1"/>
  <c r="G159" i="1"/>
  <c r="F159" i="1"/>
  <c r="F158" i="1"/>
  <c r="G158" i="1"/>
  <c r="D158" i="1"/>
  <c r="E158" i="1"/>
  <c r="F157" i="1"/>
  <c r="G157" i="1"/>
  <c r="E157" i="1"/>
  <c r="D157" i="1"/>
  <c r="E156" i="1"/>
  <c r="G156" i="1"/>
  <c r="F156" i="1"/>
  <c r="D156" i="1"/>
  <c r="F155" i="1"/>
  <c r="E155" i="1"/>
  <c r="G155" i="1"/>
  <c r="D155" i="1"/>
  <c r="F154" i="1"/>
  <c r="E154" i="1"/>
  <c r="D154" i="1"/>
  <c r="G154" i="1"/>
  <c r="D153" i="1"/>
  <c r="E153" i="1"/>
  <c r="G153" i="1"/>
  <c r="F153" i="1"/>
  <c r="E152" i="1"/>
  <c r="D152" i="1"/>
  <c r="G152" i="1"/>
  <c r="F152" i="1"/>
  <c r="D151" i="1"/>
  <c r="G151" i="1"/>
  <c r="E151" i="1"/>
  <c r="F151" i="1"/>
  <c r="E150" i="1"/>
  <c r="F150" i="1"/>
  <c r="G150" i="1"/>
  <c r="D150" i="1"/>
  <c r="G149" i="1"/>
  <c r="D149" i="1"/>
  <c r="E149" i="1"/>
  <c r="F149" i="1"/>
  <c r="E148" i="1"/>
  <c r="G148" i="1"/>
  <c r="F148" i="1"/>
  <c r="D148" i="1"/>
  <c r="D146" i="1"/>
  <c r="E146" i="1"/>
  <c r="F146" i="1"/>
  <c r="G146" i="1"/>
  <c r="F145" i="1"/>
  <c r="E145" i="1"/>
  <c r="G145" i="1"/>
  <c r="D145" i="1"/>
  <c r="D144" i="1"/>
  <c r="E144" i="1"/>
  <c r="F144" i="1"/>
  <c r="G144" i="1"/>
  <c r="D143" i="1"/>
  <c r="F143" i="1"/>
  <c r="E143" i="1"/>
  <c r="G143" i="1"/>
  <c r="D142" i="1"/>
  <c r="E142" i="1"/>
  <c r="F142" i="1"/>
  <c r="G142" i="1"/>
  <c r="E141" i="1"/>
  <c r="D141" i="1"/>
  <c r="F141" i="1"/>
  <c r="G141" i="1"/>
  <c r="G140" i="1"/>
  <c r="F140" i="1"/>
  <c r="E140" i="1"/>
  <c r="D140" i="1"/>
  <c r="F139" i="1"/>
  <c r="G139" i="1"/>
  <c r="D139" i="1"/>
  <c r="E139" i="1"/>
  <c r="G138" i="1"/>
  <c r="D138" i="1"/>
  <c r="E138" i="1"/>
  <c r="F138" i="1"/>
  <c r="G137" i="1"/>
  <c r="E137" i="1"/>
  <c r="F137" i="1"/>
  <c r="D137" i="1"/>
  <c r="G136" i="1"/>
  <c r="D136" i="1"/>
  <c r="F136" i="1"/>
  <c r="E136" i="1"/>
  <c r="E135" i="1"/>
  <c r="D135" i="1"/>
  <c r="F135" i="1"/>
  <c r="G135" i="1"/>
  <c r="F134" i="1"/>
  <c r="E134" i="1"/>
  <c r="D134" i="1"/>
  <c r="G134" i="1"/>
  <c r="F133" i="1"/>
  <c r="G133" i="1"/>
  <c r="D133" i="1"/>
  <c r="E133" i="1"/>
  <c r="E132" i="1"/>
  <c r="F132" i="1"/>
  <c r="G132" i="1"/>
  <c r="D132" i="1"/>
  <c r="G131" i="1"/>
  <c r="E131" i="1"/>
  <c r="F131" i="1"/>
  <c r="D131" i="1"/>
  <c r="E130" i="1"/>
  <c r="D130" i="1"/>
  <c r="F130" i="1"/>
  <c r="G130" i="1"/>
  <c r="F129" i="1"/>
  <c r="E129" i="1"/>
  <c r="G129" i="1"/>
  <c r="D129" i="1"/>
  <c r="G128" i="1"/>
  <c r="E128" i="1"/>
  <c r="D128" i="1"/>
  <c r="F128" i="1"/>
  <c r="E127" i="1"/>
  <c r="D127" i="1"/>
  <c r="F127" i="1"/>
  <c r="G127" i="1"/>
  <c r="D126" i="1"/>
  <c r="F126" i="1"/>
  <c r="G126" i="1"/>
  <c r="E126" i="1"/>
  <c r="G125" i="1"/>
  <c r="D125" i="1"/>
  <c r="F125" i="1"/>
  <c r="E125" i="1"/>
  <c r="D124" i="1"/>
  <c r="E124" i="1"/>
  <c r="F124" i="1"/>
  <c r="G124" i="1"/>
  <c r="G123" i="1"/>
  <c r="D123" i="1"/>
  <c r="E123" i="1"/>
  <c r="F123" i="1"/>
  <c r="G122" i="1"/>
  <c r="D122" i="1"/>
  <c r="E122" i="1"/>
  <c r="F122" i="1"/>
  <c r="G121" i="1"/>
  <c r="D121" i="1"/>
  <c r="E121" i="1"/>
  <c r="F121" i="1"/>
  <c r="F120" i="1"/>
  <c r="E120" i="1"/>
  <c r="D120" i="1"/>
  <c r="G120" i="1"/>
  <c r="G119" i="1"/>
  <c r="E119" i="1"/>
  <c r="D119" i="1"/>
  <c r="F119" i="1"/>
  <c r="D118" i="1"/>
  <c r="G118" i="1"/>
  <c r="F118" i="1"/>
  <c r="E118" i="1"/>
  <c r="D117" i="1"/>
  <c r="G117" i="1"/>
  <c r="F117" i="1"/>
  <c r="E117" i="1"/>
  <c r="G116" i="1"/>
  <c r="F116" i="1"/>
  <c r="E116" i="1"/>
  <c r="D116" i="1"/>
  <c r="D115" i="1"/>
  <c r="E115" i="1"/>
  <c r="G115" i="1"/>
  <c r="F115" i="1"/>
  <c r="D114" i="1"/>
  <c r="F114" i="1"/>
  <c r="E114" i="1"/>
  <c r="G114" i="1"/>
  <c r="F113" i="1"/>
  <c r="E113" i="1"/>
  <c r="G113" i="1"/>
  <c r="D113" i="1"/>
  <c r="G112" i="1"/>
  <c r="E112" i="1"/>
  <c r="F112" i="1"/>
  <c r="D112" i="1"/>
  <c r="D111" i="1"/>
  <c r="E111" i="1"/>
  <c r="F111" i="1"/>
  <c r="G111" i="1"/>
  <c r="F110" i="1"/>
  <c r="G110" i="1"/>
  <c r="D110" i="1"/>
  <c r="E110" i="1"/>
  <c r="D109" i="1"/>
  <c r="E109" i="1"/>
  <c r="F109" i="1"/>
  <c r="G109" i="1"/>
  <c r="F107" i="1"/>
  <c r="G107" i="1"/>
  <c r="E107" i="1"/>
  <c r="D107" i="1"/>
  <c r="F106" i="1"/>
  <c r="E106" i="1"/>
  <c r="G106" i="1"/>
  <c r="D106" i="1"/>
  <c r="G105" i="1"/>
  <c r="E105" i="1"/>
  <c r="D105" i="1"/>
  <c r="F105" i="1"/>
  <c r="F104" i="1"/>
  <c r="E104" i="1"/>
  <c r="D104" i="1"/>
  <c r="G104" i="1"/>
  <c r="G103" i="1"/>
  <c r="F103" i="1"/>
  <c r="E103" i="1"/>
  <c r="D103" i="1"/>
  <c r="G102" i="1"/>
  <c r="E102" i="1"/>
  <c r="D102" i="1"/>
  <c r="F102" i="1"/>
  <c r="E101" i="1"/>
  <c r="F101" i="1"/>
  <c r="D101" i="1"/>
  <c r="G101" i="1"/>
  <c r="F100" i="1"/>
  <c r="D100" i="1"/>
  <c r="E100" i="1"/>
  <c r="G100" i="1"/>
  <c r="D99" i="1"/>
  <c r="F99" i="1"/>
  <c r="E99" i="1"/>
  <c r="G99" i="1"/>
  <c r="E98" i="1"/>
  <c r="G98" i="1"/>
  <c r="F98" i="1"/>
  <c r="D98" i="1"/>
  <c r="F97" i="1"/>
  <c r="G97" i="1"/>
  <c r="D97" i="1"/>
  <c r="E97" i="1"/>
  <c r="D92" i="1"/>
  <c r="E92" i="1"/>
  <c r="F92" i="1"/>
  <c r="G92" i="1"/>
  <c r="D91" i="1"/>
  <c r="G91" i="1"/>
  <c r="F91" i="1"/>
  <c r="E91" i="1"/>
  <c r="F90" i="1"/>
  <c r="G90" i="1"/>
  <c r="D90" i="1"/>
  <c r="E90" i="1"/>
  <c r="E89" i="1"/>
  <c r="F89" i="1"/>
  <c r="G89" i="1"/>
  <c r="D89" i="1"/>
  <c r="E88" i="1"/>
  <c r="G88" i="1"/>
  <c r="F88" i="1"/>
  <c r="D88" i="1"/>
  <c r="F87" i="1"/>
  <c r="E87" i="1"/>
  <c r="G87" i="1"/>
  <c r="D87" i="1"/>
  <c r="D86" i="1"/>
  <c r="G86" i="1"/>
  <c r="E86" i="1"/>
  <c r="F86" i="1"/>
  <c r="F85" i="1"/>
  <c r="E85" i="1"/>
  <c r="G85" i="1"/>
  <c r="D85" i="1"/>
  <c r="D84" i="1"/>
  <c r="E84" i="1"/>
  <c r="F84" i="1"/>
  <c r="G84" i="1"/>
  <c r="D83" i="1"/>
  <c r="F83" i="1"/>
  <c r="G83" i="1"/>
  <c r="E83" i="1"/>
  <c r="D82" i="1"/>
  <c r="E82" i="1"/>
  <c r="F82" i="1"/>
  <c r="G82" i="1"/>
  <c r="F81" i="1"/>
  <c r="G81" i="1"/>
  <c r="E81" i="1"/>
  <c r="D81" i="1"/>
  <c r="G80" i="1"/>
  <c r="F80" i="1"/>
  <c r="D80" i="1"/>
  <c r="E80" i="1"/>
  <c r="D79" i="1"/>
  <c r="E79" i="1"/>
  <c r="F79" i="1"/>
  <c r="G79" i="1"/>
  <c r="G78" i="1"/>
  <c r="F78" i="1"/>
  <c r="E78" i="1"/>
  <c r="D78" i="1"/>
  <c r="G77" i="1"/>
  <c r="E77" i="1"/>
  <c r="F77" i="1"/>
  <c r="D77" i="1"/>
  <c r="E73" i="1"/>
  <c r="G73" i="1"/>
  <c r="D73" i="1"/>
  <c r="F73" i="1"/>
  <c r="D72" i="1"/>
  <c r="E72" i="1"/>
  <c r="G72" i="1"/>
  <c r="F72" i="1"/>
  <c r="E71" i="1"/>
  <c r="G71" i="1"/>
  <c r="D71" i="1"/>
  <c r="F71" i="1"/>
  <c r="E70" i="1"/>
  <c r="F70" i="1"/>
  <c r="G70" i="1"/>
  <c r="D70" i="1"/>
  <c r="E69" i="1"/>
  <c r="D69" i="1"/>
  <c r="G69" i="1"/>
  <c r="F69" i="1"/>
  <c r="E68" i="1"/>
  <c r="G68" i="1"/>
  <c r="F68" i="1"/>
  <c r="D68" i="1"/>
  <c r="F67" i="1"/>
  <c r="G67" i="1"/>
  <c r="E67" i="1"/>
  <c r="D67" i="1"/>
  <c r="G66" i="1"/>
  <c r="F66" i="1"/>
  <c r="E66" i="1"/>
  <c r="D66" i="1"/>
  <c r="E65" i="1"/>
  <c r="D65" i="1"/>
  <c r="F65" i="1"/>
  <c r="G65" i="1"/>
  <c r="F64" i="1"/>
  <c r="D64" i="1"/>
  <c r="G64" i="1"/>
  <c r="E64" i="1"/>
  <c r="G63" i="1"/>
  <c r="D63" i="1"/>
  <c r="F63" i="1"/>
  <c r="E63" i="1"/>
  <c r="F62" i="1"/>
  <c r="D62" i="1"/>
  <c r="G62" i="1"/>
  <c r="E62" i="1"/>
  <c r="G61" i="1"/>
  <c r="F61" i="1"/>
  <c r="E61" i="1"/>
  <c r="D61" i="1"/>
  <c r="E60" i="1"/>
  <c r="F60" i="1"/>
  <c r="D60" i="1"/>
  <c r="G60" i="1"/>
  <c r="F59" i="1"/>
  <c r="G59" i="1"/>
  <c r="D59" i="1"/>
  <c r="E59" i="1"/>
  <c r="F58" i="1"/>
  <c r="D58" i="1"/>
  <c r="G58" i="1"/>
  <c r="E58" i="1"/>
  <c r="F57" i="1"/>
  <c r="G57" i="1"/>
  <c r="D57" i="1"/>
  <c r="E57" i="1"/>
  <c r="F56" i="1"/>
  <c r="D56" i="1"/>
  <c r="G56" i="1"/>
  <c r="E56" i="1"/>
  <c r="F55" i="1"/>
  <c r="G55" i="1"/>
  <c r="D55" i="1"/>
  <c r="E55" i="1"/>
  <c r="D54" i="1"/>
  <c r="G54" i="1"/>
  <c r="F54" i="1"/>
  <c r="E54" i="1"/>
  <c r="D53" i="1"/>
  <c r="E53" i="1"/>
  <c r="G53" i="1"/>
  <c r="F53" i="1"/>
  <c r="D52" i="1"/>
  <c r="G52" i="1"/>
  <c r="F52" i="1"/>
  <c r="E52" i="1"/>
  <c r="D51" i="1"/>
  <c r="G51" i="1"/>
  <c r="E51" i="1"/>
  <c r="F51" i="1"/>
  <c r="E50" i="1"/>
  <c r="F50" i="1"/>
  <c r="G50" i="1"/>
  <c r="D50" i="1"/>
  <c r="F49" i="1"/>
  <c r="G49" i="1"/>
  <c r="E49" i="1"/>
  <c r="D49" i="1"/>
  <c r="E48" i="1"/>
  <c r="G48" i="1"/>
  <c r="F48" i="1"/>
  <c r="D48" i="1"/>
  <c r="D47" i="1"/>
  <c r="F47" i="1"/>
  <c r="E47" i="1"/>
  <c r="G47" i="1"/>
  <c r="G46" i="1"/>
  <c r="F46" i="1"/>
  <c r="E46" i="1"/>
  <c r="D46" i="1"/>
  <c r="D45" i="1"/>
  <c r="G45" i="1"/>
  <c r="F45" i="1"/>
  <c r="E45" i="1"/>
  <c r="E44" i="1"/>
  <c r="F44" i="1"/>
  <c r="D44" i="1"/>
  <c r="G44" i="1"/>
  <c r="E43" i="1"/>
  <c r="D43" i="1"/>
  <c r="F43" i="1"/>
  <c r="G43" i="1"/>
  <c r="G42" i="1"/>
  <c r="D42" i="1"/>
  <c r="F42" i="1"/>
  <c r="E42" i="1"/>
  <c r="F41" i="1"/>
  <c r="E41" i="1"/>
  <c r="G41" i="1"/>
  <c r="D41" i="1"/>
  <c r="E40" i="1"/>
  <c r="F40" i="1"/>
  <c r="G40" i="1"/>
  <c r="D40" i="1"/>
  <c r="F39" i="1"/>
  <c r="G39" i="1"/>
  <c r="E39" i="1"/>
  <c r="D39" i="1"/>
  <c r="D38" i="1"/>
  <c r="G38" i="1"/>
  <c r="E38" i="1"/>
  <c r="F38" i="1"/>
  <c r="F37" i="1"/>
  <c r="G37" i="1"/>
  <c r="E37" i="1"/>
  <c r="D37" i="1"/>
  <c r="G36" i="1"/>
  <c r="F36" i="1"/>
  <c r="E36" i="1"/>
  <c r="D36" i="1"/>
  <c r="E35" i="1"/>
  <c r="D35" i="1"/>
  <c r="G35" i="1"/>
  <c r="F35" i="1"/>
  <c r="D34" i="1"/>
  <c r="G34" i="1"/>
  <c r="E34" i="1"/>
  <c r="F34" i="1"/>
  <c r="E33" i="1"/>
  <c r="D33" i="1"/>
  <c r="G33" i="1"/>
  <c r="F33" i="1"/>
  <c r="D32" i="1"/>
  <c r="E32" i="1"/>
  <c r="F32" i="1"/>
  <c r="G32" i="1"/>
  <c r="D31" i="1"/>
  <c r="G31" i="1"/>
  <c r="F31" i="1"/>
  <c r="E31" i="1"/>
  <c r="E30" i="1"/>
  <c r="D30" i="1"/>
  <c r="F30" i="1"/>
  <c r="G30" i="1"/>
  <c r="F29" i="1"/>
  <c r="D29" i="1"/>
  <c r="E29" i="1"/>
  <c r="G29" i="1"/>
  <c r="G28" i="1"/>
  <c r="D28" i="1"/>
  <c r="E28" i="1"/>
  <c r="F28" i="1"/>
  <c r="F27" i="1"/>
  <c r="G27" i="1"/>
  <c r="E27" i="1"/>
  <c r="D27" i="1"/>
  <c r="F26" i="1"/>
  <c r="D26" i="1"/>
  <c r="G26" i="1"/>
  <c r="E26" i="1"/>
  <c r="D25" i="1"/>
  <c r="E25" i="1"/>
  <c r="F25" i="1"/>
  <c r="G25" i="1"/>
  <c r="D24" i="1"/>
  <c r="E24" i="1"/>
  <c r="G24" i="1"/>
  <c r="F24" i="1"/>
  <c r="E23" i="1"/>
  <c r="F23" i="1"/>
  <c r="G23" i="1"/>
  <c r="D23" i="1"/>
  <c r="G22" i="1"/>
  <c r="D22" i="1"/>
  <c r="F22" i="1"/>
  <c r="E22" i="1"/>
  <c r="G21" i="1"/>
  <c r="E21" i="1"/>
  <c r="F21" i="1"/>
  <c r="D21" i="1"/>
  <c r="D20" i="1"/>
  <c r="G20" i="1"/>
  <c r="F20" i="1"/>
  <c r="E20" i="1"/>
  <c r="G19" i="1"/>
  <c r="D19" i="1"/>
  <c r="F19" i="1"/>
  <c r="E19" i="1"/>
  <c r="D18" i="1"/>
  <c r="G18" i="1"/>
  <c r="E18" i="1"/>
  <c r="F18" i="1"/>
  <c r="F17" i="1"/>
  <c r="E17" i="1"/>
  <c r="D17" i="1"/>
  <c r="G17" i="1"/>
  <c r="D16" i="1"/>
  <c r="E16" i="1"/>
  <c r="F16" i="1"/>
  <c r="G16" i="1"/>
  <c r="G15" i="1"/>
  <c r="E15" i="1"/>
  <c r="F15" i="1"/>
  <c r="D15" i="1"/>
  <c r="F14" i="1"/>
  <c r="G14" i="1"/>
  <c r="E14" i="1"/>
  <c r="D14" i="1"/>
  <c r="D13" i="1"/>
  <c r="G13" i="1"/>
  <c r="F13" i="1"/>
  <c r="E13" i="1"/>
  <c r="D12" i="1"/>
  <c r="E12" i="1"/>
  <c r="G12" i="1"/>
  <c r="F12" i="1"/>
  <c r="G11" i="1"/>
  <c r="F11" i="1"/>
  <c r="D11" i="1"/>
  <c r="E11" i="1"/>
  <c r="E10" i="1"/>
  <c r="F10" i="1"/>
  <c r="D10" i="1"/>
  <c r="G10" i="1"/>
  <c r="F9" i="1"/>
  <c r="E9" i="1"/>
  <c r="G9" i="1"/>
  <c r="D9" i="1"/>
  <c r="D8" i="1"/>
  <c r="F8" i="1"/>
  <c r="G8" i="1"/>
  <c r="E8" i="1"/>
  <c r="D96" i="1"/>
  <c r="G96" i="1"/>
  <c r="F96" i="1"/>
  <c r="E96" i="1"/>
  <c r="F1573" i="2"/>
  <c r="G1573" i="2"/>
  <c r="D1573" i="2"/>
  <c r="K1573" i="2"/>
  <c r="I1573" i="2"/>
  <c r="H1573" i="2"/>
  <c r="J1573" i="2"/>
  <c r="E1573" i="2"/>
  <c r="G1572" i="2"/>
  <c r="J1572" i="2"/>
  <c r="I1572" i="2"/>
  <c r="H1572" i="2"/>
  <c r="E1572" i="2"/>
  <c r="D1572" i="2"/>
  <c r="F1572" i="2"/>
  <c r="K1572" i="2"/>
  <c r="E1571" i="2"/>
  <c r="D1571" i="2"/>
  <c r="G1571" i="2"/>
  <c r="K1571" i="2"/>
  <c r="F1571" i="2"/>
  <c r="J1571" i="2"/>
  <c r="H1571" i="2"/>
  <c r="I1571" i="2"/>
  <c r="G1569" i="2"/>
  <c r="F1569" i="2"/>
  <c r="K1569" i="2"/>
  <c r="J1569" i="2"/>
  <c r="I1569" i="2"/>
  <c r="H1569" i="2"/>
  <c r="E1569" i="2"/>
  <c r="D1569" i="2"/>
  <c r="G1568" i="2"/>
  <c r="K1568" i="2"/>
  <c r="I1568" i="2"/>
  <c r="H1568" i="2"/>
  <c r="F1568" i="2"/>
  <c r="E1568" i="2"/>
  <c r="D1568" i="2"/>
  <c r="J1568" i="2"/>
  <c r="D1567" i="2"/>
  <c r="K1567" i="2"/>
  <c r="J1567" i="2"/>
  <c r="H1567" i="2"/>
  <c r="F1567" i="2"/>
  <c r="E1567" i="2"/>
  <c r="G1567" i="2"/>
  <c r="I1567" i="2"/>
  <c r="K1566" i="2"/>
  <c r="J1566" i="2"/>
  <c r="H1566" i="2"/>
  <c r="F1566" i="2"/>
  <c r="I1566" i="2"/>
  <c r="G1566" i="2"/>
  <c r="D1566" i="2"/>
  <c r="E1566" i="2"/>
  <c r="E1565" i="2"/>
  <c r="D1565" i="2"/>
  <c r="G1565" i="2"/>
  <c r="K1565" i="2"/>
  <c r="F1565" i="2"/>
  <c r="J1565" i="2"/>
  <c r="I1565" i="2"/>
  <c r="H1565" i="2"/>
  <c r="D1564" i="2"/>
  <c r="E1564" i="2"/>
  <c r="F1564" i="2"/>
  <c r="G1564" i="2"/>
  <c r="H1564" i="2"/>
  <c r="I1564" i="2"/>
  <c r="J1564" i="2"/>
  <c r="K1564" i="2"/>
  <c r="J1563" i="2"/>
  <c r="K1563" i="2"/>
  <c r="G1563" i="2"/>
  <c r="E1563" i="2"/>
  <c r="H1563" i="2"/>
  <c r="F1563" i="2"/>
  <c r="I1563" i="2"/>
  <c r="D1563" i="2"/>
  <c r="E1562" i="2"/>
  <c r="F1562" i="2"/>
  <c r="G1562" i="2"/>
  <c r="H1562" i="2"/>
  <c r="I1562" i="2"/>
  <c r="J1562" i="2"/>
  <c r="K1562" i="2"/>
  <c r="D1562" i="2"/>
  <c r="G1561" i="2"/>
  <c r="E1561" i="2"/>
  <c r="D1561" i="2"/>
  <c r="F1561" i="2"/>
  <c r="I1561" i="2"/>
  <c r="K1561" i="2"/>
  <c r="J1561" i="2"/>
  <c r="H1561" i="2"/>
  <c r="K1560" i="2"/>
  <c r="D1560" i="2"/>
  <c r="I1560" i="2"/>
  <c r="H1560" i="2"/>
  <c r="J1560" i="2"/>
  <c r="G1560" i="2"/>
  <c r="F1560" i="2"/>
  <c r="E1560" i="2"/>
  <c r="D1559" i="2"/>
  <c r="E1559" i="2"/>
  <c r="F1559" i="2"/>
  <c r="J1559" i="2"/>
  <c r="G1559" i="2"/>
  <c r="I1559" i="2"/>
  <c r="K1559" i="2"/>
  <c r="H1559" i="2"/>
  <c r="G1558" i="2"/>
  <c r="E1558" i="2"/>
  <c r="D1558" i="2"/>
  <c r="J1558" i="2"/>
  <c r="I1558" i="2"/>
  <c r="K1558" i="2"/>
  <c r="H1558" i="2"/>
  <c r="F1558" i="2"/>
  <c r="E1557" i="2"/>
  <c r="H1557" i="2"/>
  <c r="K1557" i="2"/>
  <c r="I1557" i="2"/>
  <c r="J1557" i="2"/>
  <c r="G1557" i="2"/>
  <c r="D1557" i="2"/>
  <c r="F1557" i="2"/>
  <c r="K1556" i="2"/>
  <c r="J1556" i="2"/>
  <c r="I1556" i="2"/>
  <c r="H1556" i="2"/>
  <c r="G1556" i="2"/>
  <c r="E1556" i="2"/>
  <c r="F1556" i="2"/>
  <c r="D1556" i="2"/>
  <c r="F1555" i="2"/>
  <c r="J1555" i="2"/>
  <c r="E1555" i="2"/>
  <c r="D1555" i="2"/>
  <c r="G1555" i="2"/>
  <c r="K1555" i="2"/>
  <c r="I1555" i="2"/>
  <c r="H1555" i="2"/>
  <c r="G1554" i="2"/>
  <c r="H1554" i="2"/>
  <c r="I1554" i="2"/>
  <c r="J1554" i="2"/>
  <c r="K1554" i="2"/>
  <c r="D1554" i="2"/>
  <c r="E1554" i="2"/>
  <c r="F1554" i="2"/>
  <c r="D1553" i="2"/>
  <c r="E1553" i="2"/>
  <c r="H1553" i="2"/>
  <c r="I1553" i="2"/>
  <c r="J1553" i="2"/>
  <c r="K1553" i="2"/>
  <c r="F1553" i="2"/>
  <c r="G1553" i="2"/>
  <c r="G1552" i="2"/>
  <c r="I1552" i="2"/>
  <c r="K1552" i="2"/>
  <c r="J1552" i="2"/>
  <c r="E1552" i="2"/>
  <c r="D1552" i="2"/>
  <c r="F1552" i="2"/>
  <c r="H1552" i="2"/>
  <c r="D1551" i="2"/>
  <c r="H1551" i="2"/>
  <c r="G1551" i="2"/>
  <c r="J1551" i="2"/>
  <c r="F1551" i="2"/>
  <c r="I1551" i="2"/>
  <c r="K1551" i="2"/>
  <c r="E1551" i="2"/>
  <c r="I1550" i="2"/>
  <c r="H1550" i="2"/>
  <c r="F1550" i="2"/>
  <c r="D1550" i="2"/>
  <c r="K1550" i="2"/>
  <c r="E1550" i="2"/>
  <c r="J1550" i="2"/>
  <c r="G1550" i="2"/>
  <c r="H1549" i="2"/>
  <c r="E1549" i="2"/>
  <c r="F1549" i="2"/>
  <c r="D1549" i="2"/>
  <c r="K1549" i="2"/>
  <c r="J1549" i="2"/>
  <c r="G1549" i="2"/>
  <c r="I1549" i="2"/>
  <c r="J1548" i="2"/>
  <c r="E1548" i="2"/>
  <c r="H1548" i="2"/>
  <c r="K1548" i="2"/>
  <c r="F1548" i="2"/>
  <c r="D1548" i="2"/>
  <c r="G1548" i="2"/>
  <c r="I1548" i="2"/>
  <c r="H1547" i="2"/>
  <c r="I1547" i="2"/>
  <c r="E1547" i="2"/>
  <c r="D1547" i="2"/>
  <c r="J1547" i="2"/>
  <c r="K1547" i="2"/>
  <c r="G1547" i="2"/>
  <c r="F1547" i="2"/>
  <c r="H1546" i="2"/>
  <c r="E1546" i="2"/>
  <c r="F1546" i="2"/>
  <c r="D1546" i="2"/>
  <c r="K1546" i="2"/>
  <c r="J1546" i="2"/>
  <c r="I1546" i="2"/>
  <c r="G1546" i="2"/>
  <c r="G1545" i="2"/>
  <c r="E1545" i="2"/>
  <c r="K1545" i="2"/>
  <c r="H1545" i="2"/>
  <c r="F1545" i="2"/>
  <c r="J1545" i="2"/>
  <c r="I1545" i="2"/>
  <c r="D1545" i="2"/>
  <c r="J1544" i="2"/>
  <c r="G1544" i="2"/>
  <c r="H1544" i="2"/>
  <c r="D1544" i="2"/>
  <c r="E1544" i="2"/>
  <c r="F1544" i="2"/>
  <c r="I1544" i="2"/>
  <c r="K1544" i="2"/>
  <c r="G1543" i="2"/>
  <c r="F1543" i="2"/>
  <c r="E1543" i="2"/>
  <c r="D1543" i="2"/>
  <c r="K1543" i="2"/>
  <c r="I1543" i="2"/>
  <c r="H1543" i="2"/>
  <c r="J1543" i="2"/>
  <c r="D1542" i="2"/>
  <c r="G1542" i="2"/>
  <c r="F1542" i="2"/>
  <c r="H1542" i="2"/>
  <c r="I1542" i="2"/>
  <c r="E1542" i="2"/>
  <c r="J1542" i="2"/>
  <c r="K1542" i="2"/>
  <c r="F1541" i="2"/>
  <c r="G1541" i="2"/>
  <c r="H1541" i="2"/>
  <c r="I1541" i="2"/>
  <c r="E1541" i="2"/>
  <c r="K1541" i="2"/>
  <c r="J1541" i="2"/>
  <c r="D1541" i="2"/>
  <c r="H1540" i="2"/>
  <c r="G1540" i="2"/>
  <c r="F1540" i="2"/>
  <c r="D1540" i="2"/>
  <c r="E1540" i="2"/>
  <c r="K1540" i="2"/>
  <c r="J1540" i="2"/>
  <c r="I1540" i="2"/>
  <c r="I1538" i="2"/>
  <c r="G1538" i="2"/>
  <c r="H1538" i="2"/>
  <c r="F1538" i="2"/>
  <c r="E1538" i="2"/>
  <c r="D1538" i="2"/>
  <c r="K1538" i="2"/>
  <c r="J1538" i="2"/>
  <c r="G1537" i="2"/>
  <c r="D1537" i="2"/>
  <c r="K1537" i="2"/>
  <c r="E1537" i="2"/>
  <c r="J1537" i="2"/>
  <c r="I1537" i="2"/>
  <c r="H1537" i="2"/>
  <c r="F1537" i="2"/>
  <c r="J1536" i="2"/>
  <c r="H1536" i="2"/>
  <c r="I1536" i="2"/>
  <c r="D1536" i="2"/>
  <c r="K1536" i="2"/>
  <c r="F1536" i="2"/>
  <c r="G1536" i="2"/>
  <c r="E1536" i="2"/>
  <c r="D1535" i="2"/>
  <c r="K1535" i="2"/>
  <c r="J1535" i="2"/>
  <c r="I1535" i="2"/>
  <c r="H1535" i="2"/>
  <c r="G1535" i="2"/>
  <c r="F1535" i="2"/>
  <c r="E1535" i="2"/>
  <c r="G1534" i="2"/>
  <c r="D1534" i="2"/>
  <c r="H1534" i="2"/>
  <c r="I1534" i="2"/>
  <c r="J1534" i="2"/>
  <c r="K1534" i="2"/>
  <c r="E1534" i="2"/>
  <c r="F1534" i="2"/>
  <c r="G1533" i="2"/>
  <c r="F1533" i="2"/>
  <c r="E1533" i="2"/>
  <c r="D1533" i="2"/>
  <c r="K1533" i="2"/>
  <c r="J1533" i="2"/>
  <c r="I1533" i="2"/>
  <c r="H1533" i="2"/>
  <c r="F1532" i="2"/>
  <c r="E1532" i="2"/>
  <c r="D1532" i="2"/>
  <c r="K1532" i="2"/>
  <c r="J1532" i="2"/>
  <c r="I1532" i="2"/>
  <c r="H1532" i="2"/>
  <c r="G1532" i="2"/>
  <c r="E1531" i="2"/>
  <c r="K1531" i="2"/>
  <c r="I1531" i="2"/>
  <c r="D1531" i="2"/>
  <c r="J1531" i="2"/>
  <c r="H1531" i="2"/>
  <c r="F1531" i="2"/>
  <c r="G1531" i="2"/>
  <c r="J1530" i="2"/>
  <c r="E1530" i="2"/>
  <c r="K1530" i="2"/>
  <c r="H1530" i="2"/>
  <c r="F1530" i="2"/>
  <c r="D1530" i="2"/>
  <c r="I1530" i="2"/>
  <c r="G1530" i="2"/>
  <c r="I1529" i="2"/>
  <c r="D1529" i="2"/>
  <c r="E1529" i="2"/>
  <c r="G1529" i="2"/>
  <c r="J1529" i="2"/>
  <c r="H1529" i="2"/>
  <c r="K1529" i="2"/>
  <c r="F1529" i="2"/>
  <c r="K1528" i="2"/>
  <c r="H1528" i="2"/>
  <c r="D1528" i="2"/>
  <c r="F1528" i="2"/>
  <c r="I1528" i="2"/>
  <c r="E1528" i="2"/>
  <c r="G1528" i="2"/>
  <c r="J1528" i="2"/>
  <c r="G1527" i="2"/>
  <c r="J1527" i="2"/>
  <c r="I1527" i="2"/>
  <c r="D1527" i="2"/>
  <c r="H1527" i="2"/>
  <c r="F1527" i="2"/>
  <c r="K1527" i="2"/>
  <c r="E1527" i="2"/>
  <c r="H1526" i="2"/>
  <c r="J1526" i="2"/>
  <c r="D1526" i="2"/>
  <c r="E1526" i="2"/>
  <c r="I1526" i="2"/>
  <c r="K1526" i="2"/>
  <c r="G1526" i="2"/>
  <c r="F1526" i="2"/>
  <c r="K1525" i="2"/>
  <c r="G1525" i="2"/>
  <c r="D1525" i="2"/>
  <c r="I1525" i="2"/>
  <c r="E1525" i="2"/>
  <c r="H1525" i="2"/>
  <c r="J1525" i="2"/>
  <c r="F1525" i="2"/>
  <c r="H1524" i="2"/>
  <c r="K1524" i="2"/>
  <c r="J1524" i="2"/>
  <c r="I1524" i="2"/>
  <c r="D1524" i="2"/>
  <c r="E1524" i="2"/>
  <c r="G1524" i="2"/>
  <c r="F1524" i="2"/>
  <c r="H1523" i="2"/>
  <c r="G1523" i="2"/>
  <c r="I1523" i="2"/>
  <c r="D1523" i="2"/>
  <c r="K1523" i="2"/>
  <c r="J1523" i="2"/>
  <c r="E1523" i="2"/>
  <c r="F1523" i="2"/>
  <c r="D1522" i="2"/>
  <c r="K1522" i="2"/>
  <c r="J1522" i="2"/>
  <c r="I1522" i="2"/>
  <c r="H1522" i="2"/>
  <c r="G1522" i="2"/>
  <c r="F1522" i="2"/>
  <c r="E1522" i="2"/>
  <c r="G1521" i="2"/>
  <c r="F1521" i="2"/>
  <c r="E1521" i="2"/>
  <c r="D1521" i="2"/>
  <c r="K1521" i="2"/>
  <c r="J1521" i="2"/>
  <c r="I1521" i="2"/>
  <c r="H1521" i="2"/>
  <c r="G1520" i="2"/>
  <c r="H1520" i="2"/>
  <c r="I1520" i="2"/>
  <c r="K1520" i="2"/>
  <c r="F1520" i="2"/>
  <c r="E1520" i="2"/>
  <c r="D1520" i="2"/>
  <c r="J1520" i="2"/>
  <c r="G1519" i="2"/>
  <c r="F1519" i="2"/>
  <c r="H1519" i="2"/>
  <c r="K1519" i="2"/>
  <c r="D1519" i="2"/>
  <c r="I1519" i="2"/>
  <c r="J1519" i="2"/>
  <c r="E1519" i="2"/>
  <c r="J1518" i="2"/>
  <c r="D1518" i="2"/>
  <c r="E1518" i="2"/>
  <c r="F1518" i="2"/>
  <c r="G1518" i="2"/>
  <c r="H1518" i="2"/>
  <c r="I1518" i="2"/>
  <c r="K1518" i="2"/>
  <c r="G1517" i="2"/>
  <c r="K1517" i="2"/>
  <c r="J1517" i="2"/>
  <c r="I1517" i="2"/>
  <c r="H1517" i="2"/>
  <c r="F1517" i="2"/>
  <c r="D1517" i="2"/>
  <c r="E1517" i="2"/>
  <c r="I1516" i="2"/>
  <c r="G1516" i="2"/>
  <c r="F1516" i="2"/>
  <c r="D1516" i="2"/>
  <c r="K1516" i="2"/>
  <c r="H1516" i="2"/>
  <c r="J1516" i="2"/>
  <c r="E1516" i="2"/>
  <c r="K1515" i="2"/>
  <c r="H1515" i="2"/>
  <c r="F1515" i="2"/>
  <c r="D1515" i="2"/>
  <c r="J1515" i="2"/>
  <c r="E1515" i="2"/>
  <c r="G1515" i="2"/>
  <c r="I1515" i="2"/>
  <c r="H1514" i="2"/>
  <c r="I1514" i="2"/>
  <c r="J1514" i="2"/>
  <c r="K1514" i="2"/>
  <c r="E1514" i="2"/>
  <c r="F1514" i="2"/>
  <c r="G1514" i="2"/>
  <c r="D1514" i="2"/>
  <c r="I1513" i="2"/>
  <c r="K1513" i="2"/>
  <c r="G1513" i="2"/>
  <c r="F1513" i="2"/>
  <c r="E1513" i="2"/>
  <c r="D1513" i="2"/>
  <c r="H1513" i="2"/>
  <c r="J1513" i="2"/>
  <c r="G1512" i="2"/>
  <c r="I1512" i="2"/>
  <c r="K1512" i="2"/>
  <c r="D1512" i="2"/>
  <c r="J1512" i="2"/>
  <c r="H1512" i="2"/>
  <c r="E1512" i="2"/>
  <c r="F1512" i="2"/>
  <c r="K1511" i="2"/>
  <c r="J1511" i="2"/>
  <c r="I1511" i="2"/>
  <c r="D1511" i="2"/>
  <c r="E1511" i="2"/>
  <c r="F1511" i="2"/>
  <c r="G1511" i="2"/>
  <c r="H1511" i="2"/>
  <c r="J1510" i="2"/>
  <c r="I1510" i="2"/>
  <c r="H1510" i="2"/>
  <c r="G1510" i="2"/>
  <c r="F1510" i="2"/>
  <c r="E1510" i="2"/>
  <c r="K1510" i="2"/>
  <c r="D1510" i="2"/>
  <c r="J1509" i="2"/>
  <c r="G1509" i="2"/>
  <c r="D1509" i="2"/>
  <c r="K1509" i="2"/>
  <c r="H1509" i="2"/>
  <c r="F1509" i="2"/>
  <c r="E1509" i="2"/>
  <c r="I1509" i="2"/>
  <c r="G1508" i="2"/>
  <c r="I1508" i="2"/>
  <c r="E1508" i="2"/>
  <c r="D1508" i="2"/>
  <c r="H1508" i="2"/>
  <c r="J1508" i="2"/>
  <c r="F1508" i="2"/>
  <c r="K1508" i="2"/>
  <c r="K1507" i="2"/>
  <c r="I1507" i="2"/>
  <c r="H1507" i="2"/>
  <c r="D1507" i="2"/>
  <c r="E1507" i="2"/>
  <c r="F1507" i="2"/>
  <c r="J1507" i="2"/>
  <c r="G1507" i="2"/>
  <c r="H1506" i="2"/>
  <c r="G1506" i="2"/>
  <c r="F1506" i="2"/>
  <c r="E1506" i="2"/>
  <c r="D1506" i="2"/>
  <c r="K1506" i="2"/>
  <c r="J1506" i="2"/>
  <c r="I1506" i="2"/>
  <c r="G1505" i="2"/>
  <c r="F1505" i="2"/>
  <c r="E1505" i="2"/>
  <c r="D1505" i="2"/>
  <c r="I1505" i="2"/>
  <c r="J1505" i="2"/>
  <c r="H1505" i="2"/>
  <c r="K1505" i="2"/>
  <c r="G1504" i="2"/>
  <c r="I1504" i="2"/>
  <c r="K1504" i="2"/>
  <c r="J1504" i="2"/>
  <c r="H1504" i="2"/>
  <c r="E1504" i="2"/>
  <c r="D1504" i="2"/>
  <c r="F1504" i="2"/>
  <c r="D1503" i="2"/>
  <c r="I1503" i="2"/>
  <c r="K1503" i="2"/>
  <c r="F1503" i="2"/>
  <c r="E1503" i="2"/>
  <c r="G1503" i="2"/>
  <c r="H1503" i="2"/>
  <c r="J1503" i="2"/>
  <c r="E1502" i="2"/>
  <c r="F1502" i="2"/>
  <c r="G1502" i="2"/>
  <c r="H1502" i="2"/>
  <c r="I1502" i="2"/>
  <c r="J1502" i="2"/>
  <c r="K1502" i="2"/>
  <c r="D1502" i="2"/>
  <c r="D1501" i="2"/>
  <c r="E1501" i="2"/>
  <c r="F1501" i="2"/>
  <c r="G1501" i="2"/>
  <c r="K1501" i="2"/>
  <c r="J1501" i="2"/>
  <c r="I1501" i="2"/>
  <c r="H1501" i="2"/>
  <c r="K1500" i="2"/>
  <c r="E1500" i="2"/>
  <c r="H1500" i="2"/>
  <c r="D1500" i="2"/>
  <c r="G1500" i="2"/>
  <c r="J1500" i="2"/>
  <c r="F1500" i="2"/>
  <c r="I1500" i="2"/>
  <c r="D1499" i="2"/>
  <c r="J1499" i="2"/>
  <c r="H1499" i="2"/>
  <c r="K1499" i="2"/>
  <c r="G1499" i="2"/>
  <c r="F1499" i="2"/>
  <c r="E1499" i="2"/>
  <c r="I1499" i="2"/>
  <c r="G1498" i="2"/>
  <c r="D1498" i="2"/>
  <c r="J1498" i="2"/>
  <c r="E1498" i="2"/>
  <c r="F1498" i="2"/>
  <c r="I1498" i="2"/>
  <c r="H1498" i="2"/>
  <c r="K1498" i="2"/>
  <c r="J1497" i="2"/>
  <c r="D1497" i="2"/>
  <c r="H1497" i="2"/>
  <c r="E1497" i="2"/>
  <c r="G1497" i="2"/>
  <c r="I1497" i="2"/>
  <c r="K1497" i="2"/>
  <c r="F1497" i="2"/>
  <c r="D1496" i="2"/>
  <c r="H1496" i="2"/>
  <c r="K1496" i="2"/>
  <c r="J1496" i="2"/>
  <c r="F1496" i="2"/>
  <c r="G1496" i="2"/>
  <c r="I1496" i="2"/>
  <c r="E1496" i="2"/>
  <c r="F1495" i="2"/>
  <c r="J1495" i="2"/>
  <c r="H1495" i="2"/>
  <c r="E1495" i="2"/>
  <c r="I1495" i="2"/>
  <c r="K1495" i="2"/>
  <c r="G1495" i="2"/>
  <c r="D1495" i="2"/>
  <c r="J1494" i="2"/>
  <c r="G1494" i="2"/>
  <c r="I1494" i="2"/>
  <c r="E1494" i="2"/>
  <c r="H1494" i="2"/>
  <c r="K1494" i="2"/>
  <c r="D1494" i="2"/>
  <c r="F1494" i="2"/>
  <c r="D1493" i="2"/>
  <c r="H1493" i="2"/>
  <c r="I1493" i="2"/>
  <c r="J1493" i="2"/>
  <c r="E1493" i="2"/>
  <c r="G1493" i="2"/>
  <c r="K1493" i="2"/>
  <c r="F1493" i="2"/>
  <c r="J1492" i="2"/>
  <c r="K1492" i="2"/>
  <c r="E1492" i="2"/>
  <c r="D1492" i="2"/>
  <c r="H1492" i="2"/>
  <c r="G1492" i="2"/>
  <c r="I1492" i="2"/>
  <c r="F1492" i="2"/>
  <c r="K1491" i="2"/>
  <c r="G1491" i="2"/>
  <c r="F1491" i="2"/>
  <c r="E1491" i="2"/>
  <c r="H1491" i="2"/>
  <c r="J1491" i="2"/>
  <c r="D1491" i="2"/>
  <c r="I1491" i="2"/>
  <c r="G1490" i="2"/>
  <c r="F1490" i="2"/>
  <c r="K1490" i="2"/>
  <c r="J1490" i="2"/>
  <c r="I1490" i="2"/>
  <c r="D1490" i="2"/>
  <c r="E1490" i="2"/>
  <c r="H1490" i="2"/>
  <c r="H1489" i="2"/>
  <c r="F1489" i="2"/>
  <c r="D1489" i="2"/>
  <c r="I1489" i="2"/>
  <c r="E1489" i="2"/>
  <c r="J1489" i="2"/>
  <c r="K1489" i="2"/>
  <c r="G1489" i="2"/>
  <c r="D1488" i="2"/>
  <c r="H1488" i="2"/>
  <c r="I1488" i="2"/>
  <c r="E1488" i="2"/>
  <c r="J1488" i="2"/>
  <c r="G1488" i="2"/>
  <c r="K1488" i="2"/>
  <c r="F1488" i="2"/>
  <c r="J1487" i="2"/>
  <c r="I1487" i="2"/>
  <c r="H1487" i="2"/>
  <c r="G1487" i="2"/>
  <c r="F1487" i="2"/>
  <c r="E1487" i="2"/>
  <c r="D1487" i="2"/>
  <c r="K1487" i="2"/>
  <c r="I1486" i="2"/>
  <c r="D1486" i="2"/>
  <c r="E1486" i="2"/>
  <c r="F1486" i="2"/>
  <c r="G1486" i="2"/>
  <c r="J1486" i="2"/>
  <c r="K1486" i="2"/>
  <c r="H1486" i="2"/>
  <c r="H1485" i="2"/>
  <c r="E1485" i="2"/>
  <c r="G1485" i="2"/>
  <c r="I1485" i="2"/>
  <c r="F1485" i="2"/>
  <c r="D1485" i="2"/>
  <c r="J1485" i="2"/>
  <c r="K1485" i="2"/>
  <c r="D1484" i="2"/>
  <c r="I1484" i="2"/>
  <c r="K1484" i="2"/>
  <c r="H1484" i="2"/>
  <c r="F1484" i="2"/>
  <c r="G1484" i="2"/>
  <c r="J1484" i="2"/>
  <c r="E1484" i="2"/>
  <c r="I1482" i="2"/>
  <c r="J1482" i="2"/>
  <c r="K1482" i="2"/>
  <c r="H1482" i="2"/>
  <c r="F1482" i="2"/>
  <c r="E1482" i="2"/>
  <c r="G1482" i="2"/>
  <c r="D1482" i="2"/>
  <c r="K1481" i="2"/>
  <c r="D1481" i="2"/>
  <c r="E1481" i="2"/>
  <c r="H1481" i="2"/>
  <c r="I1481" i="2"/>
  <c r="G1481" i="2"/>
  <c r="J1481" i="2"/>
  <c r="F1481" i="2"/>
  <c r="I1480" i="2"/>
  <c r="J1480" i="2"/>
  <c r="D1480" i="2"/>
  <c r="K1480" i="2"/>
  <c r="G1480" i="2"/>
  <c r="E1480" i="2"/>
  <c r="F1480" i="2"/>
  <c r="H1480" i="2"/>
  <c r="D1479" i="2"/>
  <c r="H1479" i="2"/>
  <c r="J1479" i="2"/>
  <c r="F1479" i="2"/>
  <c r="E1479" i="2"/>
  <c r="I1479" i="2"/>
  <c r="G1479" i="2"/>
  <c r="K1479" i="2"/>
  <c r="E1478" i="2"/>
  <c r="G1478" i="2"/>
  <c r="K1478" i="2"/>
  <c r="J1478" i="2"/>
  <c r="I1478" i="2"/>
  <c r="D1478" i="2"/>
  <c r="H1478" i="2"/>
  <c r="F1478" i="2"/>
  <c r="I1477" i="2"/>
  <c r="G1477" i="2"/>
  <c r="J1477" i="2"/>
  <c r="D1477" i="2"/>
  <c r="H1477" i="2"/>
  <c r="K1477" i="2"/>
  <c r="E1477" i="2"/>
  <c r="F1477" i="2"/>
  <c r="F1476" i="2"/>
  <c r="H1476" i="2"/>
  <c r="I1476" i="2"/>
  <c r="G1476" i="2"/>
  <c r="J1476" i="2"/>
  <c r="K1476" i="2"/>
  <c r="D1476" i="2"/>
  <c r="E1476" i="2"/>
  <c r="D1475" i="2"/>
  <c r="J1475" i="2"/>
  <c r="I1475" i="2"/>
  <c r="K1475" i="2"/>
  <c r="F1475" i="2"/>
  <c r="E1475" i="2"/>
  <c r="G1475" i="2"/>
  <c r="H1475" i="2"/>
  <c r="I1474" i="2"/>
  <c r="G1474" i="2"/>
  <c r="D1474" i="2"/>
  <c r="F1474" i="2"/>
  <c r="K1474" i="2"/>
  <c r="H1474" i="2"/>
  <c r="E1474" i="2"/>
  <c r="J1474" i="2"/>
  <c r="G1473" i="2"/>
  <c r="K1473" i="2"/>
  <c r="D1473" i="2"/>
  <c r="H1473" i="2"/>
  <c r="J1473" i="2"/>
  <c r="F1473" i="2"/>
  <c r="E1473" i="2"/>
  <c r="I1473" i="2"/>
  <c r="D1472" i="2"/>
  <c r="K1472" i="2"/>
  <c r="J1472" i="2"/>
  <c r="F1472" i="2"/>
  <c r="E1472" i="2"/>
  <c r="I1472" i="2"/>
  <c r="H1472" i="2"/>
  <c r="G1472" i="2"/>
  <c r="E1471" i="2"/>
  <c r="F1471" i="2"/>
  <c r="D1471" i="2"/>
  <c r="G1471" i="2"/>
  <c r="K1471" i="2"/>
  <c r="H1471" i="2"/>
  <c r="I1471" i="2"/>
  <c r="J1471" i="2"/>
  <c r="F1470" i="2"/>
  <c r="G1470" i="2"/>
  <c r="K1470" i="2"/>
  <c r="D1470" i="2"/>
  <c r="E1470" i="2"/>
  <c r="I1470" i="2"/>
  <c r="H1470" i="2"/>
  <c r="J1470" i="2"/>
  <c r="K1469" i="2"/>
  <c r="D1469" i="2"/>
  <c r="E1469" i="2"/>
  <c r="F1469" i="2"/>
  <c r="G1469" i="2"/>
  <c r="H1469" i="2"/>
  <c r="I1469" i="2"/>
  <c r="J1469" i="2"/>
  <c r="I1468" i="2"/>
  <c r="J1468" i="2"/>
  <c r="E1468" i="2"/>
  <c r="G1468" i="2"/>
  <c r="F1468" i="2"/>
  <c r="H1468" i="2"/>
  <c r="K1468" i="2"/>
  <c r="D1468" i="2"/>
  <c r="F1467" i="2"/>
  <c r="H1467" i="2"/>
  <c r="K1467" i="2"/>
  <c r="E1467" i="2"/>
  <c r="J1467" i="2"/>
  <c r="I1467" i="2"/>
  <c r="D1467" i="2"/>
  <c r="G1467" i="2"/>
  <c r="H1466" i="2"/>
  <c r="E1466" i="2"/>
  <c r="D1466" i="2"/>
  <c r="G1466" i="2"/>
  <c r="I1466" i="2"/>
  <c r="F1466" i="2"/>
  <c r="K1466" i="2"/>
  <c r="J1466" i="2"/>
  <c r="K1465" i="2"/>
  <c r="J1465" i="2"/>
  <c r="I1465" i="2"/>
  <c r="G1465" i="2"/>
  <c r="F1465" i="2"/>
  <c r="H1465" i="2"/>
  <c r="E1465" i="2"/>
  <c r="D1465" i="2"/>
  <c r="F1464" i="2"/>
  <c r="K1464" i="2"/>
  <c r="J1464" i="2"/>
  <c r="I1464" i="2"/>
  <c r="H1464" i="2"/>
  <c r="G1464" i="2"/>
  <c r="E1464" i="2"/>
  <c r="D1464" i="2"/>
  <c r="J1463" i="2"/>
  <c r="H1463" i="2"/>
  <c r="D1463" i="2"/>
  <c r="F1463" i="2"/>
  <c r="K1463" i="2"/>
  <c r="I1463" i="2"/>
  <c r="E1463" i="2"/>
  <c r="G1463" i="2"/>
  <c r="E1462" i="2"/>
  <c r="G1462" i="2"/>
  <c r="J1462" i="2"/>
  <c r="H1462" i="2"/>
  <c r="F1462" i="2"/>
  <c r="K1462" i="2"/>
  <c r="D1462" i="2"/>
  <c r="I1462" i="2"/>
  <c r="G1461" i="2"/>
  <c r="K1461" i="2"/>
  <c r="J1461" i="2"/>
  <c r="I1461" i="2"/>
  <c r="H1461" i="2"/>
  <c r="F1461" i="2"/>
  <c r="E1461" i="2"/>
  <c r="D1461" i="2"/>
  <c r="J1460" i="2"/>
  <c r="I1460" i="2"/>
  <c r="G1460" i="2"/>
  <c r="K1460" i="2"/>
  <c r="D1460" i="2"/>
  <c r="F1460" i="2"/>
  <c r="E1460" i="2"/>
  <c r="H1460" i="2"/>
  <c r="D1459" i="2"/>
  <c r="E1459" i="2"/>
  <c r="H1459" i="2"/>
  <c r="K1459" i="2"/>
  <c r="J1459" i="2"/>
  <c r="G1459" i="2"/>
  <c r="F1459" i="2"/>
  <c r="I1459" i="2"/>
  <c r="J1458" i="2"/>
  <c r="I1458" i="2"/>
  <c r="H1458" i="2"/>
  <c r="G1458" i="2"/>
  <c r="K1458" i="2"/>
  <c r="D1458" i="2"/>
  <c r="E1458" i="2"/>
  <c r="F1458" i="2"/>
  <c r="D1457" i="2"/>
  <c r="F1457" i="2"/>
  <c r="G1457" i="2"/>
  <c r="H1457" i="2"/>
  <c r="K1457" i="2"/>
  <c r="J1457" i="2"/>
  <c r="E1457" i="2"/>
  <c r="I1457" i="2"/>
  <c r="H1456" i="2"/>
  <c r="I1456" i="2"/>
  <c r="J1456" i="2"/>
  <c r="K1456" i="2"/>
  <c r="D1456" i="2"/>
  <c r="G1456" i="2"/>
  <c r="F1456" i="2"/>
  <c r="E1456" i="2"/>
  <c r="K1455" i="2"/>
  <c r="G1455" i="2"/>
  <c r="J1455" i="2"/>
  <c r="I1455" i="2"/>
  <c r="H1455" i="2"/>
  <c r="F1455" i="2"/>
  <c r="E1455" i="2"/>
  <c r="D1455" i="2"/>
  <c r="H1454" i="2"/>
  <c r="E1454" i="2"/>
  <c r="J1454" i="2"/>
  <c r="F1454" i="2"/>
  <c r="D1454" i="2"/>
  <c r="K1454" i="2"/>
  <c r="G1454" i="2"/>
  <c r="I1454" i="2"/>
  <c r="D1453" i="2"/>
  <c r="E1453" i="2"/>
  <c r="J1453" i="2"/>
  <c r="F1453" i="2"/>
  <c r="K1453" i="2"/>
  <c r="I1453" i="2"/>
  <c r="G1453" i="2"/>
  <c r="H1453" i="2"/>
  <c r="G1452" i="2"/>
  <c r="H1452" i="2"/>
  <c r="F1452" i="2"/>
  <c r="E1452" i="2"/>
  <c r="D1452" i="2"/>
  <c r="I1452" i="2"/>
  <c r="J1452" i="2"/>
  <c r="K1452" i="2"/>
  <c r="H1451" i="2"/>
  <c r="J1451" i="2"/>
  <c r="K1451" i="2"/>
  <c r="I1451" i="2"/>
  <c r="G1451" i="2"/>
  <c r="E1451" i="2"/>
  <c r="D1451" i="2"/>
  <c r="F1451" i="2"/>
  <c r="H1450" i="2"/>
  <c r="D1450" i="2"/>
  <c r="K1450" i="2"/>
  <c r="J1450" i="2"/>
  <c r="I1450" i="2"/>
  <c r="G1450" i="2"/>
  <c r="F1450" i="2"/>
  <c r="E1450" i="2"/>
  <c r="G1449" i="2"/>
  <c r="D1449" i="2"/>
  <c r="I1449" i="2"/>
  <c r="J1449" i="2"/>
  <c r="F1449" i="2"/>
  <c r="H1449" i="2"/>
  <c r="K1449" i="2"/>
  <c r="E1449" i="2"/>
  <c r="D1448" i="2"/>
  <c r="E1448" i="2"/>
  <c r="F1448" i="2"/>
  <c r="G1448" i="2"/>
  <c r="H1448" i="2"/>
  <c r="I1448" i="2"/>
  <c r="J1448" i="2"/>
  <c r="K1448" i="2"/>
  <c r="K1447" i="2"/>
  <c r="D1447" i="2"/>
  <c r="F1447" i="2"/>
  <c r="H1447" i="2"/>
  <c r="J1447" i="2"/>
  <c r="I1447" i="2"/>
  <c r="G1447" i="2"/>
  <c r="E1447" i="2"/>
  <c r="E1446" i="2"/>
  <c r="G1446" i="2"/>
  <c r="F1446" i="2"/>
  <c r="D1446" i="2"/>
  <c r="H1446" i="2"/>
  <c r="I1446" i="2"/>
  <c r="J1446" i="2"/>
  <c r="K1446" i="2"/>
  <c r="D1445" i="2"/>
  <c r="G1445" i="2"/>
  <c r="J1445" i="2"/>
  <c r="F1445" i="2"/>
  <c r="E1445" i="2"/>
  <c r="K1445" i="2"/>
  <c r="I1445" i="2"/>
  <c r="H1445" i="2"/>
  <c r="E1444" i="2"/>
  <c r="K1444" i="2"/>
  <c r="J1444" i="2"/>
  <c r="D1444" i="2"/>
  <c r="G1444" i="2"/>
  <c r="H1444" i="2"/>
  <c r="I1444" i="2"/>
  <c r="F1444" i="2"/>
  <c r="I1443" i="2"/>
  <c r="F1443" i="2"/>
  <c r="E1443" i="2"/>
  <c r="H1443" i="2"/>
  <c r="D1443" i="2"/>
  <c r="J1443" i="2"/>
  <c r="K1443" i="2"/>
  <c r="G1443" i="2"/>
  <c r="K1442" i="2"/>
  <c r="D1442" i="2"/>
  <c r="E1442" i="2"/>
  <c r="F1442" i="2"/>
  <c r="J1442" i="2"/>
  <c r="I1442" i="2"/>
  <c r="H1442" i="2"/>
  <c r="G1442" i="2"/>
  <c r="I1441" i="2"/>
  <c r="H1441" i="2"/>
  <c r="G1441" i="2"/>
  <c r="E1441" i="2"/>
  <c r="K1441" i="2"/>
  <c r="J1441" i="2"/>
  <c r="D1441" i="2"/>
  <c r="F1441" i="2"/>
  <c r="G1440" i="2"/>
  <c r="J1440" i="2"/>
  <c r="H1440" i="2"/>
  <c r="D1440" i="2"/>
  <c r="E1440" i="2"/>
  <c r="K1440" i="2"/>
  <c r="F1440" i="2"/>
  <c r="I1440" i="2"/>
  <c r="D1439" i="2"/>
  <c r="G1439" i="2"/>
  <c r="K1439" i="2"/>
  <c r="J1439" i="2"/>
  <c r="H1439" i="2"/>
  <c r="E1439" i="2"/>
  <c r="I1439" i="2"/>
  <c r="F1439" i="2"/>
  <c r="K1438" i="2"/>
  <c r="E1438" i="2"/>
  <c r="J1438" i="2"/>
  <c r="I1438" i="2"/>
  <c r="H1438" i="2"/>
  <c r="D1438" i="2"/>
  <c r="G1438" i="2"/>
  <c r="F1438" i="2"/>
  <c r="J1437" i="2"/>
  <c r="F1437" i="2"/>
  <c r="K1437" i="2"/>
  <c r="H1437" i="2"/>
  <c r="D1437" i="2"/>
  <c r="G1437" i="2"/>
  <c r="E1437" i="2"/>
  <c r="I1437" i="2"/>
  <c r="J1436" i="2"/>
  <c r="I1436" i="2"/>
  <c r="F1436" i="2"/>
  <c r="D1436" i="2"/>
  <c r="E1436" i="2"/>
  <c r="K1436" i="2"/>
  <c r="H1436" i="2"/>
  <c r="G1436" i="2"/>
  <c r="I1435" i="2"/>
  <c r="J1435" i="2"/>
  <c r="K1435" i="2"/>
  <c r="G1435" i="2"/>
  <c r="F1435" i="2"/>
  <c r="E1435" i="2"/>
  <c r="H1435" i="2"/>
  <c r="D1435" i="2"/>
  <c r="K1434" i="2"/>
  <c r="D1434" i="2"/>
  <c r="E1434" i="2"/>
  <c r="F1434" i="2"/>
  <c r="G1434" i="2"/>
  <c r="H1434" i="2"/>
  <c r="I1434" i="2"/>
  <c r="J1434" i="2"/>
  <c r="D1433" i="2"/>
  <c r="E1433" i="2"/>
  <c r="G1433" i="2"/>
  <c r="H1433" i="2"/>
  <c r="I1433" i="2"/>
  <c r="J1433" i="2"/>
  <c r="K1433" i="2"/>
  <c r="F1433" i="2"/>
  <c r="J1432" i="2"/>
  <c r="D1432" i="2"/>
  <c r="E1432" i="2"/>
  <c r="F1432" i="2"/>
  <c r="G1432" i="2"/>
  <c r="H1432" i="2"/>
  <c r="I1432" i="2"/>
  <c r="K1432" i="2"/>
  <c r="F1431" i="2"/>
  <c r="J1431" i="2"/>
  <c r="I1431" i="2"/>
  <c r="G1431" i="2"/>
  <c r="E1431" i="2"/>
  <c r="K1431" i="2"/>
  <c r="H1431" i="2"/>
  <c r="D1431" i="2"/>
  <c r="F1430" i="2"/>
  <c r="D1430" i="2"/>
  <c r="E1430" i="2"/>
  <c r="H1430" i="2"/>
  <c r="G1430" i="2"/>
  <c r="J1430" i="2"/>
  <c r="K1430" i="2"/>
  <c r="I1430" i="2"/>
  <c r="H1429" i="2"/>
  <c r="I1429" i="2"/>
  <c r="D1429" i="2"/>
  <c r="K1429" i="2"/>
  <c r="F1429" i="2"/>
  <c r="J1429" i="2"/>
  <c r="G1429" i="2"/>
  <c r="E1429" i="2"/>
  <c r="K1428" i="2"/>
  <c r="D1428" i="2"/>
  <c r="E1428" i="2"/>
  <c r="F1428" i="2"/>
  <c r="G1428" i="2"/>
  <c r="H1428" i="2"/>
  <c r="I1428" i="2"/>
  <c r="J1428" i="2"/>
  <c r="H1427" i="2"/>
  <c r="G1427" i="2"/>
  <c r="F1427" i="2"/>
  <c r="E1427" i="2"/>
  <c r="I1427" i="2"/>
  <c r="D1427" i="2"/>
  <c r="J1427" i="2"/>
  <c r="K1427" i="2"/>
  <c r="J1426" i="2"/>
  <c r="K1426" i="2"/>
  <c r="G1426" i="2"/>
  <c r="E1426" i="2"/>
  <c r="I1426" i="2"/>
  <c r="F1426" i="2"/>
  <c r="D1426" i="2"/>
  <c r="H1426" i="2"/>
  <c r="I1425" i="2"/>
  <c r="D1425" i="2"/>
  <c r="E1425" i="2"/>
  <c r="K1425" i="2"/>
  <c r="H1425" i="2"/>
  <c r="F1425" i="2"/>
  <c r="J1425" i="2"/>
  <c r="G1425" i="2"/>
  <c r="K1424" i="2"/>
  <c r="J1424" i="2"/>
  <c r="I1424" i="2"/>
  <c r="G1424" i="2"/>
  <c r="H1424" i="2"/>
  <c r="F1424" i="2"/>
  <c r="E1424" i="2"/>
  <c r="D1424" i="2"/>
  <c r="F1423" i="2"/>
  <c r="D1423" i="2"/>
  <c r="J1423" i="2"/>
  <c r="E1423" i="2"/>
  <c r="I1423" i="2"/>
  <c r="G1423" i="2"/>
  <c r="K1423" i="2"/>
  <c r="H1423" i="2"/>
  <c r="E1422" i="2"/>
  <c r="I1422" i="2"/>
  <c r="G1422" i="2"/>
  <c r="K1422" i="2"/>
  <c r="D1422" i="2"/>
  <c r="F1422" i="2"/>
  <c r="H1422" i="2"/>
  <c r="J1422" i="2"/>
  <c r="H1421" i="2"/>
  <c r="I1421" i="2"/>
  <c r="J1421" i="2"/>
  <c r="K1421" i="2"/>
  <c r="G1421" i="2"/>
  <c r="E1421" i="2"/>
  <c r="D1421" i="2"/>
  <c r="F1421" i="2"/>
  <c r="E1420" i="2"/>
  <c r="K1420" i="2"/>
  <c r="F1420" i="2"/>
  <c r="I1420" i="2"/>
  <c r="H1420" i="2"/>
  <c r="G1420" i="2"/>
  <c r="J1420" i="2"/>
  <c r="D1420" i="2"/>
  <c r="D1419" i="2"/>
  <c r="F1419" i="2"/>
  <c r="J1419" i="2"/>
  <c r="G1419" i="2"/>
  <c r="K1419" i="2"/>
  <c r="H1419" i="2"/>
  <c r="E1419" i="2"/>
  <c r="I1419" i="2"/>
  <c r="E1418" i="2"/>
  <c r="D1418" i="2"/>
  <c r="K1418" i="2"/>
  <c r="G1418" i="2"/>
  <c r="J1418" i="2"/>
  <c r="I1418" i="2"/>
  <c r="H1418" i="2"/>
  <c r="F1418" i="2"/>
  <c r="G1417" i="2"/>
  <c r="H1417" i="2"/>
  <c r="J1417" i="2"/>
  <c r="K1417" i="2"/>
  <c r="I1417" i="2"/>
  <c r="F1417" i="2"/>
  <c r="E1417" i="2"/>
  <c r="D1417" i="2"/>
  <c r="H1416" i="2"/>
  <c r="K1416" i="2"/>
  <c r="J1416" i="2"/>
  <c r="I1416" i="2"/>
  <c r="G1416" i="2"/>
  <c r="F1416" i="2"/>
  <c r="E1416" i="2"/>
  <c r="D1416" i="2"/>
  <c r="F1415" i="2"/>
  <c r="K1415" i="2"/>
  <c r="J1415" i="2"/>
  <c r="I1415" i="2"/>
  <c r="H1415" i="2"/>
  <c r="G1415" i="2"/>
  <c r="E1415" i="2"/>
  <c r="D1415" i="2"/>
  <c r="K1414" i="2"/>
  <c r="H1414" i="2"/>
  <c r="I1414" i="2"/>
  <c r="E1414" i="2"/>
  <c r="F1414" i="2"/>
  <c r="D1414" i="2"/>
  <c r="J1414" i="2"/>
  <c r="G1414" i="2"/>
  <c r="E1413" i="2"/>
  <c r="F1413" i="2"/>
  <c r="K1413" i="2"/>
  <c r="D1413" i="2"/>
  <c r="G1413" i="2"/>
  <c r="H1413" i="2"/>
  <c r="J1413" i="2"/>
  <c r="I1413" i="2"/>
  <c r="E1412" i="2"/>
  <c r="I1412" i="2"/>
  <c r="F1412" i="2"/>
  <c r="D1412" i="2"/>
  <c r="K1412" i="2"/>
  <c r="G1412" i="2"/>
  <c r="H1412" i="2"/>
  <c r="J1412" i="2"/>
  <c r="D1411" i="2"/>
  <c r="J1411" i="2"/>
  <c r="K1411" i="2"/>
  <c r="E1411" i="2"/>
  <c r="F1411" i="2"/>
  <c r="G1411" i="2"/>
  <c r="I1411" i="2"/>
  <c r="H1411" i="2"/>
  <c r="J1410" i="2"/>
  <c r="K1410" i="2"/>
  <c r="G1410" i="2"/>
  <c r="I1410" i="2"/>
  <c r="H1410" i="2"/>
  <c r="F1410" i="2"/>
  <c r="D1410" i="2"/>
  <c r="E1410" i="2"/>
  <c r="D1409" i="2"/>
  <c r="H1409" i="2"/>
  <c r="K1409" i="2"/>
  <c r="I1409" i="2"/>
  <c r="G1409" i="2"/>
  <c r="J1409" i="2"/>
  <c r="E1409" i="2"/>
  <c r="F1409" i="2"/>
  <c r="D1408" i="2"/>
  <c r="F1408" i="2"/>
  <c r="G1408" i="2"/>
  <c r="I1408" i="2"/>
  <c r="K1408" i="2"/>
  <c r="E1408" i="2"/>
  <c r="J1408" i="2"/>
  <c r="H1408" i="2"/>
  <c r="G1407" i="2"/>
  <c r="E1407" i="2"/>
  <c r="K1407" i="2"/>
  <c r="F1407" i="2"/>
  <c r="D1407" i="2"/>
  <c r="J1407" i="2"/>
  <c r="H1407" i="2"/>
  <c r="I1407" i="2"/>
  <c r="G1406" i="2"/>
  <c r="H1406" i="2"/>
  <c r="J1406" i="2"/>
  <c r="K1406" i="2"/>
  <c r="D1406" i="2"/>
  <c r="E1406" i="2"/>
  <c r="F1406" i="2"/>
  <c r="I1406" i="2"/>
  <c r="I1405" i="2"/>
  <c r="D1405" i="2"/>
  <c r="K1405" i="2"/>
  <c r="J1405" i="2"/>
  <c r="H1405" i="2"/>
  <c r="G1405" i="2"/>
  <c r="F1405" i="2"/>
  <c r="E1405" i="2"/>
  <c r="H1404" i="2"/>
  <c r="I1404" i="2"/>
  <c r="F1404" i="2"/>
  <c r="G1404" i="2"/>
  <c r="K1404" i="2"/>
  <c r="D1404" i="2"/>
  <c r="E1404" i="2"/>
  <c r="J1404" i="2"/>
  <c r="F1403" i="2"/>
  <c r="J1403" i="2"/>
  <c r="I1403" i="2"/>
  <c r="H1403" i="2"/>
  <c r="G1403" i="2"/>
  <c r="E1403" i="2"/>
  <c r="D1403" i="2"/>
  <c r="K1403" i="2"/>
  <c r="K1402" i="2"/>
  <c r="D1402" i="2"/>
  <c r="J1402" i="2"/>
  <c r="E1402" i="2"/>
  <c r="F1402" i="2"/>
  <c r="G1402" i="2"/>
  <c r="H1402" i="2"/>
  <c r="I1402" i="2"/>
  <c r="I1401" i="2"/>
  <c r="K1401" i="2"/>
  <c r="D1401" i="2"/>
  <c r="E1401" i="2"/>
  <c r="G1401" i="2"/>
  <c r="H1401" i="2"/>
  <c r="F1401" i="2"/>
  <c r="J1401" i="2"/>
  <c r="E1400" i="2"/>
  <c r="G1400" i="2"/>
  <c r="J1400" i="2"/>
  <c r="I1400" i="2"/>
  <c r="D1400" i="2"/>
  <c r="F1400" i="2"/>
  <c r="K1400" i="2"/>
  <c r="H1400" i="2"/>
  <c r="F1399" i="2"/>
  <c r="J1399" i="2"/>
  <c r="E1399" i="2"/>
  <c r="H1399" i="2"/>
  <c r="G1399" i="2"/>
  <c r="D1399" i="2"/>
  <c r="I1399" i="2"/>
  <c r="K1399" i="2"/>
  <c r="D1398" i="2"/>
  <c r="F1398" i="2"/>
  <c r="G1398" i="2"/>
  <c r="H1398" i="2"/>
  <c r="I1398" i="2"/>
  <c r="K1398" i="2"/>
  <c r="E1398" i="2"/>
  <c r="J1398" i="2"/>
  <c r="K1397" i="2"/>
  <c r="E1397" i="2"/>
  <c r="I1397" i="2"/>
  <c r="F1397" i="2"/>
  <c r="J1397" i="2"/>
  <c r="H1397" i="2"/>
  <c r="G1397" i="2"/>
  <c r="D1397" i="2"/>
  <c r="F1396" i="2"/>
  <c r="D1396" i="2"/>
  <c r="G1396" i="2"/>
  <c r="H1396" i="2"/>
  <c r="I1396" i="2"/>
  <c r="J1396" i="2"/>
  <c r="K1396" i="2"/>
  <c r="E1396" i="2"/>
  <c r="I1395" i="2"/>
  <c r="G1395" i="2"/>
  <c r="J1395" i="2"/>
  <c r="H1395" i="2"/>
  <c r="K1395" i="2"/>
  <c r="D1395" i="2"/>
  <c r="E1395" i="2"/>
  <c r="F1395" i="2"/>
  <c r="D1394" i="2"/>
  <c r="E1394" i="2"/>
  <c r="I1394" i="2"/>
  <c r="G1394" i="2"/>
  <c r="F1394" i="2"/>
  <c r="J1394" i="2"/>
  <c r="H1394" i="2"/>
  <c r="K1394" i="2"/>
  <c r="E1393" i="2"/>
  <c r="D1393" i="2"/>
  <c r="F1393" i="2"/>
  <c r="H1393" i="2"/>
  <c r="J1393" i="2"/>
  <c r="K1393" i="2"/>
  <c r="I1393" i="2"/>
  <c r="G1393" i="2"/>
  <c r="E1392" i="2"/>
  <c r="D1392" i="2"/>
  <c r="F1392" i="2"/>
  <c r="H1392" i="2"/>
  <c r="G1392" i="2"/>
  <c r="K1392" i="2"/>
  <c r="I1392" i="2"/>
  <c r="J1392" i="2"/>
  <c r="I1391" i="2"/>
  <c r="J1391" i="2"/>
  <c r="K1391" i="2"/>
  <c r="H1391" i="2"/>
  <c r="D1391" i="2"/>
  <c r="G1391" i="2"/>
  <c r="F1391" i="2"/>
  <c r="E1391" i="2"/>
  <c r="H1390" i="2"/>
  <c r="D1390" i="2"/>
  <c r="G1390" i="2"/>
  <c r="I1390" i="2"/>
  <c r="K1390" i="2"/>
  <c r="E1390" i="2"/>
  <c r="F1390" i="2"/>
  <c r="J1390" i="2"/>
  <c r="K1389" i="2"/>
  <c r="J1389" i="2"/>
  <c r="I1389" i="2"/>
  <c r="H1389" i="2"/>
  <c r="F1389" i="2"/>
  <c r="G1389" i="2"/>
  <c r="E1389" i="2"/>
  <c r="D1389" i="2"/>
  <c r="J1388" i="2"/>
  <c r="D1388" i="2"/>
  <c r="I1388" i="2"/>
  <c r="H1388" i="2"/>
  <c r="G1388" i="2"/>
  <c r="F1388" i="2"/>
  <c r="E1388" i="2"/>
  <c r="K1388" i="2"/>
  <c r="J1387" i="2"/>
  <c r="H1387" i="2"/>
  <c r="G1387" i="2"/>
  <c r="E1387" i="2"/>
  <c r="I1387" i="2"/>
  <c r="K1387" i="2"/>
  <c r="F1387" i="2"/>
  <c r="D1387" i="2"/>
  <c r="J1386" i="2"/>
  <c r="F1386" i="2"/>
  <c r="G1386" i="2"/>
  <c r="I1386" i="2"/>
  <c r="E1386" i="2"/>
  <c r="K1386" i="2"/>
  <c r="H1386" i="2"/>
  <c r="D1386" i="2"/>
  <c r="F1385" i="2"/>
  <c r="E1385" i="2"/>
  <c r="D1385" i="2"/>
  <c r="K1385" i="2"/>
  <c r="J1385" i="2"/>
  <c r="I1385" i="2"/>
  <c r="H1385" i="2"/>
  <c r="G1385" i="2"/>
  <c r="F1384" i="2"/>
  <c r="I1384" i="2"/>
  <c r="J1384" i="2"/>
  <c r="E1384" i="2"/>
  <c r="H1384" i="2"/>
  <c r="K1384" i="2"/>
  <c r="D1384" i="2"/>
  <c r="G1384" i="2"/>
  <c r="K1383" i="2"/>
  <c r="G1383" i="2"/>
  <c r="E1383" i="2"/>
  <c r="D1383" i="2"/>
  <c r="F1383" i="2"/>
  <c r="H1383" i="2"/>
  <c r="I1383" i="2"/>
  <c r="J1383" i="2"/>
  <c r="K1382" i="2"/>
  <c r="G1382" i="2"/>
  <c r="H1382" i="2"/>
  <c r="J1382" i="2"/>
  <c r="I1382" i="2"/>
  <c r="D1382" i="2"/>
  <c r="E1382" i="2"/>
  <c r="F1382" i="2"/>
  <c r="G1381" i="2"/>
  <c r="I1381" i="2"/>
  <c r="J1381" i="2"/>
  <c r="K1381" i="2"/>
  <c r="H1381" i="2"/>
  <c r="E1381" i="2"/>
  <c r="D1381" i="2"/>
  <c r="F1381" i="2"/>
  <c r="H1380" i="2"/>
  <c r="G1380" i="2"/>
  <c r="F1380" i="2"/>
  <c r="E1380" i="2"/>
  <c r="D1380" i="2"/>
  <c r="K1380" i="2"/>
  <c r="J1380" i="2"/>
  <c r="I1380" i="2"/>
  <c r="E1379" i="2"/>
  <c r="F1379" i="2"/>
  <c r="G1379" i="2"/>
  <c r="K1379" i="2"/>
  <c r="J1379" i="2"/>
  <c r="D1379" i="2"/>
  <c r="I1379" i="2"/>
  <c r="H1379" i="2"/>
  <c r="E1378" i="2"/>
  <c r="D1378" i="2"/>
  <c r="F1378" i="2"/>
  <c r="G1378" i="2"/>
  <c r="H1378" i="2"/>
  <c r="J1378" i="2"/>
  <c r="I1378" i="2"/>
  <c r="K1378" i="2"/>
  <c r="K1377" i="2"/>
  <c r="G1377" i="2"/>
  <c r="F1377" i="2"/>
  <c r="E1377" i="2"/>
  <c r="D1377" i="2"/>
  <c r="H1377" i="2"/>
  <c r="I1377" i="2"/>
  <c r="J1377" i="2"/>
  <c r="K1376" i="2"/>
  <c r="H1376" i="2"/>
  <c r="D1376" i="2"/>
  <c r="F1376" i="2"/>
  <c r="G1376" i="2"/>
  <c r="J1376" i="2"/>
  <c r="I1376" i="2"/>
  <c r="E1376" i="2"/>
  <c r="D1375" i="2"/>
  <c r="F1375" i="2"/>
  <c r="H1375" i="2"/>
  <c r="E1375" i="2"/>
  <c r="G1375" i="2"/>
  <c r="I1375" i="2"/>
  <c r="J1375" i="2"/>
  <c r="K1375" i="2"/>
  <c r="D1374" i="2"/>
  <c r="E1374" i="2"/>
  <c r="K1374" i="2"/>
  <c r="J1374" i="2"/>
  <c r="I1374" i="2"/>
  <c r="H1374" i="2"/>
  <c r="G1374" i="2"/>
  <c r="F1374" i="2"/>
  <c r="I1373" i="2"/>
  <c r="H1373" i="2"/>
  <c r="G1373" i="2"/>
  <c r="F1373" i="2"/>
  <c r="E1373" i="2"/>
  <c r="D1373" i="2"/>
  <c r="J1373" i="2"/>
  <c r="K1373" i="2"/>
  <c r="D1372" i="2"/>
  <c r="E1372" i="2"/>
  <c r="F1372" i="2"/>
  <c r="G1372" i="2"/>
  <c r="H1372" i="2"/>
  <c r="I1372" i="2"/>
  <c r="J1372" i="2"/>
  <c r="K1372" i="2"/>
  <c r="K1371" i="2"/>
  <c r="F1371" i="2"/>
  <c r="J1371" i="2"/>
  <c r="I1371" i="2"/>
  <c r="G1371" i="2"/>
  <c r="E1371" i="2"/>
  <c r="D1371" i="2"/>
  <c r="H1371" i="2"/>
  <c r="D1370" i="2"/>
  <c r="E1370" i="2"/>
  <c r="F1370" i="2"/>
  <c r="G1370" i="2"/>
  <c r="H1370" i="2"/>
  <c r="I1370" i="2"/>
  <c r="J1370" i="2"/>
  <c r="K1370" i="2"/>
  <c r="F1369" i="2"/>
  <c r="J1369" i="2"/>
  <c r="E1369" i="2"/>
  <c r="K1369" i="2"/>
  <c r="D1369" i="2"/>
  <c r="G1369" i="2"/>
  <c r="H1369" i="2"/>
  <c r="I1369" i="2"/>
  <c r="H1368" i="2"/>
  <c r="G1368" i="2"/>
  <c r="F1368" i="2"/>
  <c r="E1368" i="2"/>
  <c r="D1368" i="2"/>
  <c r="J1368" i="2"/>
  <c r="K1368" i="2"/>
  <c r="I1368" i="2"/>
  <c r="D1367" i="2"/>
  <c r="K1367" i="2"/>
  <c r="E1367" i="2"/>
  <c r="F1367" i="2"/>
  <c r="G1367" i="2"/>
  <c r="H1367" i="2"/>
  <c r="I1367" i="2"/>
  <c r="J1367" i="2"/>
  <c r="K1366" i="2"/>
  <c r="J1366" i="2"/>
  <c r="G1366" i="2"/>
  <c r="D1366" i="2"/>
  <c r="F1366" i="2"/>
  <c r="I1366" i="2"/>
  <c r="E1366" i="2"/>
  <c r="H1366" i="2"/>
  <c r="D1365" i="2"/>
  <c r="E1365" i="2"/>
  <c r="F1365" i="2"/>
  <c r="J1365" i="2"/>
  <c r="I1365" i="2"/>
  <c r="H1365" i="2"/>
  <c r="K1365" i="2"/>
  <c r="G1365" i="2"/>
  <c r="F1364" i="2"/>
  <c r="G1364" i="2"/>
  <c r="K1364" i="2"/>
  <c r="D1364" i="2"/>
  <c r="H1364" i="2"/>
  <c r="I1364" i="2"/>
  <c r="E1364" i="2"/>
  <c r="J1364" i="2"/>
  <c r="J1363" i="2"/>
  <c r="G1363" i="2"/>
  <c r="D1363" i="2"/>
  <c r="I1363" i="2"/>
  <c r="E1363" i="2"/>
  <c r="F1363" i="2"/>
  <c r="K1363" i="2"/>
  <c r="H1363" i="2"/>
  <c r="F1362" i="2"/>
  <c r="D1362" i="2"/>
  <c r="G1362" i="2"/>
  <c r="E1362" i="2"/>
  <c r="K1362" i="2"/>
  <c r="I1362" i="2"/>
  <c r="H1362" i="2"/>
  <c r="J1362" i="2"/>
  <c r="J1361" i="2"/>
  <c r="K1361" i="2"/>
  <c r="I1361" i="2"/>
  <c r="D1361" i="2"/>
  <c r="E1361" i="2"/>
  <c r="F1361" i="2"/>
  <c r="G1361" i="2"/>
  <c r="H1361" i="2"/>
  <c r="J1360" i="2"/>
  <c r="I1360" i="2"/>
  <c r="K1360" i="2"/>
  <c r="F1360" i="2"/>
  <c r="H1360" i="2"/>
  <c r="G1360" i="2"/>
  <c r="E1360" i="2"/>
  <c r="D1360" i="2"/>
  <c r="D1359" i="2"/>
  <c r="I1359" i="2"/>
  <c r="H1359" i="2"/>
  <c r="F1359" i="2"/>
  <c r="G1359" i="2"/>
  <c r="K1359" i="2"/>
  <c r="J1359" i="2"/>
  <c r="E1359" i="2"/>
  <c r="G1358" i="2"/>
  <c r="I1358" i="2"/>
  <c r="K1358" i="2"/>
  <c r="H1358" i="2"/>
  <c r="F1358" i="2"/>
  <c r="E1358" i="2"/>
  <c r="J1358" i="2"/>
  <c r="D1358" i="2"/>
  <c r="F1357" i="2"/>
  <c r="E1357" i="2"/>
  <c r="D1357" i="2"/>
  <c r="J1357" i="2"/>
  <c r="K1357" i="2"/>
  <c r="I1357" i="2"/>
  <c r="H1357" i="2"/>
  <c r="G1357" i="2"/>
  <c r="K1356" i="2"/>
  <c r="J1356" i="2"/>
  <c r="I1356" i="2"/>
  <c r="G1356" i="2"/>
  <c r="H1356" i="2"/>
  <c r="E1356" i="2"/>
  <c r="D1356" i="2"/>
  <c r="F1356" i="2"/>
  <c r="I1355" i="2"/>
  <c r="K1355" i="2"/>
  <c r="D1355" i="2"/>
  <c r="E1355" i="2"/>
  <c r="F1355" i="2"/>
  <c r="G1355" i="2"/>
  <c r="H1355" i="2"/>
  <c r="J1355" i="2"/>
  <c r="J1354" i="2"/>
  <c r="K1354" i="2"/>
  <c r="E1354" i="2"/>
  <c r="F1354" i="2"/>
  <c r="G1354" i="2"/>
  <c r="H1354" i="2"/>
  <c r="I1354" i="2"/>
  <c r="D1354" i="2"/>
  <c r="D1353" i="2"/>
  <c r="G1353" i="2"/>
  <c r="E1353" i="2"/>
  <c r="F1353" i="2"/>
  <c r="K1353" i="2"/>
  <c r="H1353" i="2"/>
  <c r="I1353" i="2"/>
  <c r="J1353" i="2"/>
  <c r="J1352" i="2"/>
  <c r="I1352" i="2"/>
  <c r="H1352" i="2"/>
  <c r="G1352" i="2"/>
  <c r="F1352" i="2"/>
  <c r="E1352" i="2"/>
  <c r="D1352" i="2"/>
  <c r="K1352" i="2"/>
  <c r="I1351" i="2"/>
  <c r="D1351" i="2"/>
  <c r="K1351" i="2"/>
  <c r="G1351" i="2"/>
  <c r="J1351" i="2"/>
  <c r="F1351" i="2"/>
  <c r="H1351" i="2"/>
  <c r="E1351" i="2"/>
  <c r="I1350" i="2"/>
  <c r="K1350" i="2"/>
  <c r="D1350" i="2"/>
  <c r="F1350" i="2"/>
  <c r="G1350" i="2"/>
  <c r="J1350" i="2"/>
  <c r="E1350" i="2"/>
  <c r="H1350" i="2"/>
  <c r="H1349" i="2"/>
  <c r="G1349" i="2"/>
  <c r="F1349" i="2"/>
  <c r="E1349" i="2"/>
  <c r="D1349" i="2"/>
  <c r="K1349" i="2"/>
  <c r="J1349" i="2"/>
  <c r="I1349" i="2"/>
  <c r="J1348" i="2"/>
  <c r="I1348" i="2"/>
  <c r="G1348" i="2"/>
  <c r="K1348" i="2"/>
  <c r="F1348" i="2"/>
  <c r="H1348" i="2"/>
  <c r="E1348" i="2"/>
  <c r="D1348" i="2"/>
  <c r="K1347" i="2"/>
  <c r="G1347" i="2"/>
  <c r="F1347" i="2"/>
  <c r="H1347" i="2"/>
  <c r="I1347" i="2"/>
  <c r="J1347" i="2"/>
  <c r="E1347" i="2"/>
  <c r="D1347" i="2"/>
  <c r="E1346" i="2"/>
  <c r="D1346" i="2"/>
  <c r="F1346" i="2"/>
  <c r="G1346" i="2"/>
  <c r="H1346" i="2"/>
  <c r="I1346" i="2"/>
  <c r="J1346" i="2"/>
  <c r="K1346" i="2"/>
  <c r="H1345" i="2"/>
  <c r="I1345" i="2"/>
  <c r="F1345" i="2"/>
  <c r="E1345" i="2"/>
  <c r="D1345" i="2"/>
  <c r="G1345" i="2"/>
  <c r="J1345" i="2"/>
  <c r="K1345" i="2"/>
  <c r="E1344" i="2"/>
  <c r="D1344" i="2"/>
  <c r="K1344" i="2"/>
  <c r="F1344" i="2"/>
  <c r="I1344" i="2"/>
  <c r="H1344" i="2"/>
  <c r="G1344" i="2"/>
  <c r="J1344" i="2"/>
  <c r="I1343" i="2"/>
  <c r="H1343" i="2"/>
  <c r="E1343" i="2"/>
  <c r="D1343" i="2"/>
  <c r="G1343" i="2"/>
  <c r="K1343" i="2"/>
  <c r="J1343" i="2"/>
  <c r="F1343" i="2"/>
  <c r="K1342" i="2"/>
  <c r="I1342" i="2"/>
  <c r="F1342" i="2"/>
  <c r="H1342" i="2"/>
  <c r="J1342" i="2"/>
  <c r="D1342" i="2"/>
  <c r="E1342" i="2"/>
  <c r="G1342" i="2"/>
  <c r="K1341" i="2"/>
  <c r="J1341" i="2"/>
  <c r="I1341" i="2"/>
  <c r="H1341" i="2"/>
  <c r="E1341" i="2"/>
  <c r="D1341" i="2"/>
  <c r="F1341" i="2"/>
  <c r="G1341" i="2"/>
  <c r="I1340" i="2"/>
  <c r="E1340" i="2"/>
  <c r="H1340" i="2"/>
  <c r="G1340" i="2"/>
  <c r="J1340" i="2"/>
  <c r="K1340" i="2"/>
  <c r="D1340" i="2"/>
  <c r="F1340" i="2"/>
  <c r="E1339" i="2"/>
  <c r="D1339" i="2"/>
  <c r="G1339" i="2"/>
  <c r="F1339" i="2"/>
  <c r="I1339" i="2"/>
  <c r="K1339" i="2"/>
  <c r="J1339" i="2"/>
  <c r="H1339" i="2"/>
  <c r="I1338" i="2"/>
  <c r="H1338" i="2"/>
  <c r="F1338" i="2"/>
  <c r="G1338" i="2"/>
  <c r="J1338" i="2"/>
  <c r="K1338" i="2"/>
  <c r="E1338" i="2"/>
  <c r="D1338" i="2"/>
  <c r="D1337" i="2"/>
  <c r="I1337" i="2"/>
  <c r="E1337" i="2"/>
  <c r="F1337" i="2"/>
  <c r="G1337" i="2"/>
  <c r="J1337" i="2"/>
  <c r="H1337" i="2"/>
  <c r="K1337" i="2"/>
  <c r="K1336" i="2"/>
  <c r="D1336" i="2"/>
  <c r="J1336" i="2"/>
  <c r="H1336" i="2"/>
  <c r="G1336" i="2"/>
  <c r="F1336" i="2"/>
  <c r="E1336" i="2"/>
  <c r="I1336" i="2"/>
  <c r="K1335" i="2"/>
  <c r="H1335" i="2"/>
  <c r="J1335" i="2"/>
  <c r="I1335" i="2"/>
  <c r="D1335" i="2"/>
  <c r="F1335" i="2"/>
  <c r="E1335" i="2"/>
  <c r="G1335" i="2"/>
  <c r="I1334" i="2"/>
  <c r="F1334" i="2"/>
  <c r="D1334" i="2"/>
  <c r="G1334" i="2"/>
  <c r="E1334" i="2"/>
  <c r="H1334" i="2"/>
  <c r="J1334" i="2"/>
  <c r="K1334" i="2"/>
  <c r="D1333" i="2"/>
  <c r="G1333" i="2"/>
  <c r="K1333" i="2"/>
  <c r="H1333" i="2"/>
  <c r="J1333" i="2"/>
  <c r="E1333" i="2"/>
  <c r="F1333" i="2"/>
  <c r="I1333" i="2"/>
  <c r="K1332" i="2"/>
  <c r="J1332" i="2"/>
  <c r="D1332" i="2"/>
  <c r="E1332" i="2"/>
  <c r="F1332" i="2"/>
  <c r="G1332" i="2"/>
  <c r="I1332" i="2"/>
  <c r="H1332" i="2"/>
  <c r="K1331" i="2"/>
  <c r="I1331" i="2"/>
  <c r="G1331" i="2"/>
  <c r="F1331" i="2"/>
  <c r="E1331" i="2"/>
  <c r="D1331" i="2"/>
  <c r="H1331" i="2"/>
  <c r="J1331" i="2"/>
  <c r="D1330" i="2"/>
  <c r="E1330" i="2"/>
  <c r="G1330" i="2"/>
  <c r="K1330" i="2"/>
  <c r="J1330" i="2"/>
  <c r="I1330" i="2"/>
  <c r="H1330" i="2"/>
  <c r="F1330" i="2"/>
  <c r="I1329" i="2"/>
  <c r="H1329" i="2"/>
  <c r="F1329" i="2"/>
  <c r="E1329" i="2"/>
  <c r="D1329" i="2"/>
  <c r="G1329" i="2"/>
  <c r="J1329" i="2"/>
  <c r="K1329" i="2"/>
  <c r="H1328" i="2"/>
  <c r="G1328" i="2"/>
  <c r="F1328" i="2"/>
  <c r="E1328" i="2"/>
  <c r="J1328" i="2"/>
  <c r="I1328" i="2"/>
  <c r="D1328" i="2"/>
  <c r="K1328" i="2"/>
  <c r="F1327" i="2"/>
  <c r="E1327" i="2"/>
  <c r="D1327" i="2"/>
  <c r="I1327" i="2"/>
  <c r="J1327" i="2"/>
  <c r="G1327" i="2"/>
  <c r="H1327" i="2"/>
  <c r="K1327" i="2"/>
  <c r="F1326" i="2"/>
  <c r="K1326" i="2"/>
  <c r="D1326" i="2"/>
  <c r="H1326" i="2"/>
  <c r="G1326" i="2"/>
  <c r="E1326" i="2"/>
  <c r="J1326" i="2"/>
  <c r="I1326" i="2"/>
  <c r="D1325" i="2"/>
  <c r="K1325" i="2"/>
  <c r="J1325" i="2"/>
  <c r="I1325" i="2"/>
  <c r="H1325" i="2"/>
  <c r="G1325" i="2"/>
  <c r="F1325" i="2"/>
  <c r="E1325" i="2"/>
  <c r="D1324" i="2"/>
  <c r="F1324" i="2"/>
  <c r="J1324" i="2"/>
  <c r="K1324" i="2"/>
  <c r="E1324" i="2"/>
  <c r="H1324" i="2"/>
  <c r="I1324" i="2"/>
  <c r="G1324" i="2"/>
  <c r="K1323" i="2"/>
  <c r="I1323" i="2"/>
  <c r="J1323" i="2"/>
  <c r="H1323" i="2"/>
  <c r="G1323" i="2"/>
  <c r="F1323" i="2"/>
  <c r="E1323" i="2"/>
  <c r="D1323" i="2"/>
  <c r="F1322" i="2"/>
  <c r="J1322" i="2"/>
  <c r="E1322" i="2"/>
  <c r="D1322" i="2"/>
  <c r="G1322" i="2"/>
  <c r="K1322" i="2"/>
  <c r="I1322" i="2"/>
  <c r="H1322" i="2"/>
  <c r="E1321" i="2"/>
  <c r="F1321" i="2"/>
  <c r="K1321" i="2"/>
  <c r="D1321" i="2"/>
  <c r="J1321" i="2"/>
  <c r="G1321" i="2"/>
  <c r="I1321" i="2"/>
  <c r="H1321" i="2"/>
  <c r="G1320" i="2"/>
  <c r="E1320" i="2"/>
  <c r="J1320" i="2"/>
  <c r="H1320" i="2"/>
  <c r="F1320" i="2"/>
  <c r="D1320" i="2"/>
  <c r="I1320" i="2"/>
  <c r="K1320" i="2"/>
  <c r="E1319" i="2"/>
  <c r="J1319" i="2"/>
  <c r="D1319" i="2"/>
  <c r="H1319" i="2"/>
  <c r="G1319" i="2"/>
  <c r="I1319" i="2"/>
  <c r="F1319" i="2"/>
  <c r="K1319" i="2"/>
  <c r="I1318" i="2"/>
  <c r="K1318" i="2"/>
  <c r="J1318" i="2"/>
  <c r="H1318" i="2"/>
  <c r="F1318" i="2"/>
  <c r="G1318" i="2"/>
  <c r="E1318" i="2"/>
  <c r="D1318" i="2"/>
  <c r="E1317" i="2"/>
  <c r="G1317" i="2"/>
  <c r="I1317" i="2"/>
  <c r="H1317" i="2"/>
  <c r="J1317" i="2"/>
  <c r="F1317" i="2"/>
  <c r="D1317" i="2"/>
  <c r="K1317" i="2"/>
  <c r="F1316" i="2"/>
  <c r="G1316" i="2"/>
  <c r="H1316" i="2"/>
  <c r="I1316" i="2"/>
  <c r="J1316" i="2"/>
  <c r="K1316" i="2"/>
  <c r="E1316" i="2"/>
  <c r="D1316" i="2"/>
  <c r="H1315" i="2"/>
  <c r="E1315" i="2"/>
  <c r="F1315" i="2"/>
  <c r="G1315" i="2"/>
  <c r="K1315" i="2"/>
  <c r="J1315" i="2"/>
  <c r="I1315" i="2"/>
  <c r="D1315" i="2"/>
  <c r="J1314" i="2"/>
  <c r="I1314" i="2"/>
  <c r="D1314" i="2"/>
  <c r="E1314" i="2"/>
  <c r="F1314" i="2"/>
  <c r="H1314" i="2"/>
  <c r="G1314" i="2"/>
  <c r="K1314" i="2"/>
  <c r="K1313" i="2"/>
  <c r="I1313" i="2"/>
  <c r="H1313" i="2"/>
  <c r="G1313" i="2"/>
  <c r="F1313" i="2"/>
  <c r="E1313" i="2"/>
  <c r="D1313" i="2"/>
  <c r="J1313" i="2"/>
  <c r="K1312" i="2"/>
  <c r="D1312" i="2"/>
  <c r="E1312" i="2"/>
  <c r="J1312" i="2"/>
  <c r="F1312" i="2"/>
  <c r="H1312" i="2"/>
  <c r="G1312" i="2"/>
  <c r="I1312" i="2"/>
  <c r="D1311" i="2"/>
  <c r="G1311" i="2"/>
  <c r="H1311" i="2"/>
  <c r="I1311" i="2"/>
  <c r="F1311" i="2"/>
  <c r="E1311" i="2"/>
  <c r="J1311" i="2"/>
  <c r="K1311" i="2"/>
  <c r="I1310" i="2"/>
  <c r="H1310" i="2"/>
  <c r="F1310" i="2"/>
  <c r="G1310" i="2"/>
  <c r="J1310" i="2"/>
  <c r="D1310" i="2"/>
  <c r="K1310" i="2"/>
  <c r="E1310" i="2"/>
  <c r="H1309" i="2"/>
  <c r="G1309" i="2"/>
  <c r="F1309" i="2"/>
  <c r="E1309" i="2"/>
  <c r="D1309" i="2"/>
  <c r="I1309" i="2"/>
  <c r="J1309" i="2"/>
  <c r="K1309" i="2"/>
  <c r="J1308" i="2"/>
  <c r="I1308" i="2"/>
  <c r="K1308" i="2"/>
  <c r="H1308" i="2"/>
  <c r="G1308" i="2"/>
  <c r="D1308" i="2"/>
  <c r="F1308" i="2"/>
  <c r="E1308" i="2"/>
  <c r="J1307" i="2"/>
  <c r="K1307" i="2"/>
  <c r="G1307" i="2"/>
  <c r="H1307" i="2"/>
  <c r="E1307" i="2"/>
  <c r="I1307" i="2"/>
  <c r="D1307" i="2"/>
  <c r="F1307" i="2"/>
  <c r="H1306" i="2"/>
  <c r="G1306" i="2"/>
  <c r="I1306" i="2"/>
  <c r="K1306" i="2"/>
  <c r="D1306" i="2"/>
  <c r="E1306" i="2"/>
  <c r="F1306" i="2"/>
  <c r="J1306" i="2"/>
  <c r="J1305" i="2"/>
  <c r="K1305" i="2"/>
  <c r="E1305" i="2"/>
  <c r="F1305" i="2"/>
  <c r="G1305" i="2"/>
  <c r="H1305" i="2"/>
  <c r="D1305" i="2"/>
  <c r="I1305" i="2"/>
  <c r="D1304" i="2"/>
  <c r="F1304" i="2"/>
  <c r="G1304" i="2"/>
  <c r="H1304" i="2"/>
  <c r="I1304" i="2"/>
  <c r="J1304" i="2"/>
  <c r="K1304" i="2"/>
  <c r="E1304" i="2"/>
  <c r="D1303" i="2"/>
  <c r="H1303" i="2"/>
  <c r="G1303" i="2"/>
  <c r="J1303" i="2"/>
  <c r="K1303" i="2"/>
  <c r="I1303" i="2"/>
  <c r="F1303" i="2"/>
  <c r="E1303" i="2"/>
  <c r="H1302" i="2"/>
  <c r="I1302" i="2"/>
  <c r="G1302" i="2"/>
  <c r="K1302" i="2"/>
  <c r="F1302" i="2"/>
  <c r="J1302" i="2"/>
  <c r="D1302" i="2"/>
  <c r="E1302" i="2"/>
  <c r="E1301" i="2"/>
  <c r="F1301" i="2"/>
  <c r="H1301" i="2"/>
  <c r="J1301" i="2"/>
  <c r="D1301" i="2"/>
  <c r="K1301" i="2"/>
  <c r="I1301" i="2"/>
  <c r="G1301" i="2"/>
  <c r="I1300" i="2"/>
  <c r="E1300" i="2"/>
  <c r="H1300" i="2"/>
  <c r="F1300" i="2"/>
  <c r="G1300" i="2"/>
  <c r="D1300" i="2"/>
  <c r="J1300" i="2"/>
  <c r="K1300" i="2"/>
  <c r="D1299" i="2"/>
  <c r="J1299" i="2"/>
  <c r="K1299" i="2"/>
  <c r="E1299" i="2"/>
  <c r="G1299" i="2"/>
  <c r="H1299" i="2"/>
  <c r="I1299" i="2"/>
  <c r="F1299" i="2"/>
  <c r="E1298" i="2"/>
  <c r="K1298" i="2"/>
  <c r="J1298" i="2"/>
  <c r="G1298" i="2"/>
  <c r="H1298" i="2"/>
  <c r="F1298" i="2"/>
  <c r="D1298" i="2"/>
  <c r="I1298" i="2"/>
  <c r="I1297" i="2"/>
  <c r="K1297" i="2"/>
  <c r="J1297" i="2"/>
  <c r="H1297" i="2"/>
  <c r="G1297" i="2"/>
  <c r="F1297" i="2"/>
  <c r="E1297" i="2"/>
  <c r="D1297" i="2"/>
  <c r="I1296" i="2"/>
  <c r="H1296" i="2"/>
  <c r="G1296" i="2"/>
  <c r="F1296" i="2"/>
  <c r="E1296" i="2"/>
  <c r="D1296" i="2"/>
  <c r="K1296" i="2"/>
  <c r="J1296" i="2"/>
  <c r="H1295" i="2"/>
  <c r="I1295" i="2"/>
  <c r="J1295" i="2"/>
  <c r="K1295" i="2"/>
  <c r="G1295" i="2"/>
  <c r="F1295" i="2"/>
  <c r="D1295" i="2"/>
  <c r="E1295" i="2"/>
  <c r="E1294" i="2"/>
  <c r="K1294" i="2"/>
  <c r="J1294" i="2"/>
  <c r="I1294" i="2"/>
  <c r="H1294" i="2"/>
  <c r="G1294" i="2"/>
  <c r="F1294" i="2"/>
  <c r="D1294" i="2"/>
  <c r="J1293" i="2"/>
  <c r="K1293" i="2"/>
  <c r="E1293" i="2"/>
  <c r="G1293" i="2"/>
  <c r="F1293" i="2"/>
  <c r="I1293" i="2"/>
  <c r="H1293" i="2"/>
  <c r="D1293" i="2"/>
  <c r="I1292" i="2"/>
  <c r="G1292" i="2"/>
  <c r="F1292" i="2"/>
  <c r="E1292" i="2"/>
  <c r="D1292" i="2"/>
  <c r="H1292" i="2"/>
  <c r="K1292" i="2"/>
  <c r="J1292" i="2"/>
  <c r="F1291" i="2"/>
  <c r="D1291" i="2"/>
  <c r="E1291" i="2"/>
  <c r="K1291" i="2"/>
  <c r="J1291" i="2"/>
  <c r="I1291" i="2"/>
  <c r="H1291" i="2"/>
  <c r="G1291" i="2"/>
  <c r="F1290" i="2"/>
  <c r="E1290" i="2"/>
  <c r="K1290" i="2"/>
  <c r="D1290" i="2"/>
  <c r="H1290" i="2"/>
  <c r="J1290" i="2"/>
  <c r="I1290" i="2"/>
  <c r="G1290" i="2"/>
  <c r="K1288" i="2"/>
  <c r="J1288" i="2"/>
  <c r="I1288" i="2"/>
  <c r="H1288" i="2"/>
  <c r="G1288" i="2"/>
  <c r="F1288" i="2"/>
  <c r="E1288" i="2"/>
  <c r="D1288" i="2"/>
  <c r="D1287" i="2"/>
  <c r="E1287" i="2"/>
  <c r="F1287" i="2"/>
  <c r="G1287" i="2"/>
  <c r="H1287" i="2"/>
  <c r="J1287" i="2"/>
  <c r="K1287" i="2"/>
  <c r="I1287" i="2"/>
  <c r="G1286" i="2"/>
  <c r="J1286" i="2"/>
  <c r="I1286" i="2"/>
  <c r="E1286" i="2"/>
  <c r="H1286" i="2"/>
  <c r="D1286" i="2"/>
  <c r="F1286" i="2"/>
  <c r="K1286" i="2"/>
  <c r="K1285" i="2"/>
  <c r="D1285" i="2"/>
  <c r="J1285" i="2"/>
  <c r="G1285" i="2"/>
  <c r="E1285" i="2"/>
  <c r="H1285" i="2"/>
  <c r="I1285" i="2"/>
  <c r="F1285" i="2"/>
  <c r="E1284" i="2"/>
  <c r="F1284" i="2"/>
  <c r="K1284" i="2"/>
  <c r="D1284" i="2"/>
  <c r="H1284" i="2"/>
  <c r="J1284" i="2"/>
  <c r="I1284" i="2"/>
  <c r="G1284" i="2"/>
  <c r="K1283" i="2"/>
  <c r="I1283" i="2"/>
  <c r="F1283" i="2"/>
  <c r="E1283" i="2"/>
  <c r="G1283" i="2"/>
  <c r="D1283" i="2"/>
  <c r="H1283" i="2"/>
  <c r="J1283" i="2"/>
  <c r="E1282" i="2"/>
  <c r="G1282" i="2"/>
  <c r="I1282" i="2"/>
  <c r="J1282" i="2"/>
  <c r="K1282" i="2"/>
  <c r="D1282" i="2"/>
  <c r="H1282" i="2"/>
  <c r="F1282" i="2"/>
  <c r="K1281" i="2"/>
  <c r="J1281" i="2"/>
  <c r="I1281" i="2"/>
  <c r="F1281" i="2"/>
  <c r="G1281" i="2"/>
  <c r="E1281" i="2"/>
  <c r="H1281" i="2"/>
  <c r="D1281" i="2"/>
  <c r="K1280" i="2"/>
  <c r="I1280" i="2"/>
  <c r="H1280" i="2"/>
  <c r="E1280" i="2"/>
  <c r="G1280" i="2"/>
  <c r="F1280" i="2"/>
  <c r="D1280" i="2"/>
  <c r="J1280" i="2"/>
  <c r="J1279" i="2"/>
  <c r="I1279" i="2"/>
  <c r="K1279" i="2"/>
  <c r="H1279" i="2"/>
  <c r="G1279" i="2"/>
  <c r="F1279" i="2"/>
  <c r="D1279" i="2"/>
  <c r="E1279" i="2"/>
  <c r="D1278" i="2"/>
  <c r="E1278" i="2"/>
  <c r="F1278" i="2"/>
  <c r="H1278" i="2"/>
  <c r="I1278" i="2"/>
  <c r="J1278" i="2"/>
  <c r="K1278" i="2"/>
  <c r="G1278" i="2"/>
  <c r="E1277" i="2"/>
  <c r="H1277" i="2"/>
  <c r="G1277" i="2"/>
  <c r="D1277" i="2"/>
  <c r="F1277" i="2"/>
  <c r="K1277" i="2"/>
  <c r="J1277" i="2"/>
  <c r="I1277" i="2"/>
  <c r="H1276" i="2"/>
  <c r="K1276" i="2"/>
  <c r="J1276" i="2"/>
  <c r="I1276" i="2"/>
  <c r="D1276" i="2"/>
  <c r="E1276" i="2"/>
  <c r="F1276" i="2"/>
  <c r="G1276" i="2"/>
  <c r="E1275" i="2"/>
  <c r="K1275" i="2"/>
  <c r="H1275" i="2"/>
  <c r="F1275" i="2"/>
  <c r="D1275" i="2"/>
  <c r="G1275" i="2"/>
  <c r="I1275" i="2"/>
  <c r="J1275" i="2"/>
  <c r="G1274" i="2"/>
  <c r="D1274" i="2"/>
  <c r="F1274" i="2"/>
  <c r="K1274" i="2"/>
  <c r="H1274" i="2"/>
  <c r="I1274" i="2"/>
  <c r="J1274" i="2"/>
  <c r="E1274" i="2"/>
  <c r="E1273" i="2"/>
  <c r="H1273" i="2"/>
  <c r="J1273" i="2"/>
  <c r="I1273" i="2"/>
  <c r="G1273" i="2"/>
  <c r="D1273" i="2"/>
  <c r="F1273" i="2"/>
  <c r="K1273" i="2"/>
  <c r="G1272" i="2"/>
  <c r="I1272" i="2"/>
  <c r="E1272" i="2"/>
  <c r="K1272" i="2"/>
  <c r="F1272" i="2"/>
  <c r="J1272" i="2"/>
  <c r="D1272" i="2"/>
  <c r="H1272" i="2"/>
  <c r="K1271" i="2"/>
  <c r="J1271" i="2"/>
  <c r="D1271" i="2"/>
  <c r="I1271" i="2"/>
  <c r="G1271" i="2"/>
  <c r="E1271" i="2"/>
  <c r="F1271" i="2"/>
  <c r="H1271" i="2"/>
  <c r="K1270" i="2"/>
  <c r="J1270" i="2"/>
  <c r="I1270" i="2"/>
  <c r="H1270" i="2"/>
  <c r="G1270" i="2"/>
  <c r="F1270" i="2"/>
  <c r="D1270" i="2"/>
  <c r="E1270" i="2"/>
  <c r="G1269" i="2"/>
  <c r="H1269" i="2"/>
  <c r="I1269" i="2"/>
  <c r="J1269" i="2"/>
  <c r="K1269" i="2"/>
  <c r="D1269" i="2"/>
  <c r="E1269" i="2"/>
  <c r="F1269" i="2"/>
  <c r="H1268" i="2"/>
  <c r="G1268" i="2"/>
  <c r="F1268" i="2"/>
  <c r="E1268" i="2"/>
  <c r="D1268" i="2"/>
  <c r="K1268" i="2"/>
  <c r="J1268" i="2"/>
  <c r="I1268" i="2"/>
  <c r="E1267" i="2"/>
  <c r="I1267" i="2"/>
  <c r="F1267" i="2"/>
  <c r="K1267" i="2"/>
  <c r="G1267" i="2"/>
  <c r="D1267" i="2"/>
  <c r="H1267" i="2"/>
  <c r="J1267" i="2"/>
  <c r="E1266" i="2"/>
  <c r="K1266" i="2"/>
  <c r="G1266" i="2"/>
  <c r="I1266" i="2"/>
  <c r="D1266" i="2"/>
  <c r="J1266" i="2"/>
  <c r="F1266" i="2"/>
  <c r="H1266" i="2"/>
  <c r="J1265" i="2"/>
  <c r="I1265" i="2"/>
  <c r="F1265" i="2"/>
  <c r="D1265" i="2"/>
  <c r="E1265" i="2"/>
  <c r="H1265" i="2"/>
  <c r="K1265" i="2"/>
  <c r="G1265" i="2"/>
  <c r="H1264" i="2"/>
  <c r="I1264" i="2"/>
  <c r="E1264" i="2"/>
  <c r="K1264" i="2"/>
  <c r="F1264" i="2"/>
  <c r="J1264" i="2"/>
  <c r="D1264" i="2"/>
  <c r="G1264" i="2"/>
  <c r="H1263" i="2"/>
  <c r="K1263" i="2"/>
  <c r="J1263" i="2"/>
  <c r="I1263" i="2"/>
  <c r="D1263" i="2"/>
  <c r="G1263" i="2"/>
  <c r="F1263" i="2"/>
  <c r="E1263" i="2"/>
  <c r="E1262" i="2"/>
  <c r="J1262" i="2"/>
  <c r="H1262" i="2"/>
  <c r="F1262" i="2"/>
  <c r="D1262" i="2"/>
  <c r="G1262" i="2"/>
  <c r="K1262" i="2"/>
  <c r="I1262" i="2"/>
  <c r="D1261" i="2"/>
  <c r="K1261" i="2"/>
  <c r="J1261" i="2"/>
  <c r="I1261" i="2"/>
  <c r="H1261" i="2"/>
  <c r="G1261" i="2"/>
  <c r="F1261" i="2"/>
  <c r="E1261" i="2"/>
  <c r="I1260" i="2"/>
  <c r="G1260" i="2"/>
  <c r="D1260" i="2"/>
  <c r="F1260" i="2"/>
  <c r="E1260" i="2"/>
  <c r="J1260" i="2"/>
  <c r="H1260" i="2"/>
  <c r="K1260" i="2"/>
  <c r="G1259" i="2"/>
  <c r="D1259" i="2"/>
  <c r="K1259" i="2"/>
  <c r="E1259" i="2"/>
  <c r="J1259" i="2"/>
  <c r="F1259" i="2"/>
  <c r="H1259" i="2"/>
  <c r="I1259" i="2"/>
  <c r="G1258" i="2"/>
  <c r="E1258" i="2"/>
  <c r="F1258" i="2"/>
  <c r="D1258" i="2"/>
  <c r="H1258" i="2"/>
  <c r="J1258" i="2"/>
  <c r="K1258" i="2"/>
  <c r="I1258" i="2"/>
  <c r="I1257" i="2"/>
  <c r="J1257" i="2"/>
  <c r="K1257" i="2"/>
  <c r="E1257" i="2"/>
  <c r="F1257" i="2"/>
  <c r="H1257" i="2"/>
  <c r="D1257" i="2"/>
  <c r="G1257" i="2"/>
  <c r="H1256" i="2"/>
  <c r="I1256" i="2"/>
  <c r="D1256" i="2"/>
  <c r="G1256" i="2"/>
  <c r="E1256" i="2"/>
  <c r="K1256" i="2"/>
  <c r="J1256" i="2"/>
  <c r="F1256" i="2"/>
  <c r="H1255" i="2"/>
  <c r="J1255" i="2"/>
  <c r="D1255" i="2"/>
  <c r="E1255" i="2"/>
  <c r="I1255" i="2"/>
  <c r="F1255" i="2"/>
  <c r="G1255" i="2"/>
  <c r="K1255" i="2"/>
  <c r="I1254" i="2"/>
  <c r="D1254" i="2"/>
  <c r="E1254" i="2"/>
  <c r="H1254" i="2"/>
  <c r="J1254" i="2"/>
  <c r="K1254" i="2"/>
  <c r="F1254" i="2"/>
  <c r="G1254" i="2"/>
  <c r="D1253" i="2"/>
  <c r="K1253" i="2"/>
  <c r="J1253" i="2"/>
  <c r="I1253" i="2"/>
  <c r="H1253" i="2"/>
  <c r="G1253" i="2"/>
  <c r="F1253" i="2"/>
  <c r="E1253" i="2"/>
  <c r="H1252" i="2"/>
  <c r="F1252" i="2"/>
  <c r="E1252" i="2"/>
  <c r="D1252" i="2"/>
  <c r="G1252" i="2"/>
  <c r="K1252" i="2"/>
  <c r="J1252" i="2"/>
  <c r="I1252" i="2"/>
  <c r="I1251" i="2"/>
  <c r="H1251" i="2"/>
  <c r="J1251" i="2"/>
  <c r="G1251" i="2"/>
  <c r="K1251" i="2"/>
  <c r="F1251" i="2"/>
  <c r="E1251" i="2"/>
  <c r="D1251" i="2"/>
  <c r="K1250" i="2"/>
  <c r="F1250" i="2"/>
  <c r="J1250" i="2"/>
  <c r="I1250" i="2"/>
  <c r="G1250" i="2"/>
  <c r="H1250" i="2"/>
  <c r="D1250" i="2"/>
  <c r="E1250" i="2"/>
  <c r="E1249" i="2"/>
  <c r="H1249" i="2"/>
  <c r="G1249" i="2"/>
  <c r="I1249" i="2"/>
  <c r="F1249" i="2"/>
  <c r="J1249" i="2"/>
  <c r="K1249" i="2"/>
  <c r="D1249" i="2"/>
  <c r="D1248" i="2"/>
  <c r="E1248" i="2"/>
  <c r="F1248" i="2"/>
  <c r="G1248" i="2"/>
  <c r="H1248" i="2"/>
  <c r="I1248" i="2"/>
  <c r="J1248" i="2"/>
  <c r="K1248" i="2"/>
  <c r="F1247" i="2"/>
  <c r="G1247" i="2"/>
  <c r="E1247" i="2"/>
  <c r="D1247" i="2"/>
  <c r="K1247" i="2"/>
  <c r="J1247" i="2"/>
  <c r="I1247" i="2"/>
  <c r="H1247" i="2"/>
  <c r="G1246" i="2"/>
  <c r="H1246" i="2"/>
  <c r="I1246" i="2"/>
  <c r="K1246" i="2"/>
  <c r="F1246" i="2"/>
  <c r="E1246" i="2"/>
  <c r="D1246" i="2"/>
  <c r="J1246" i="2"/>
  <c r="D1245" i="2"/>
  <c r="E1245" i="2"/>
  <c r="F1245" i="2"/>
  <c r="G1245" i="2"/>
  <c r="K1245" i="2"/>
  <c r="J1245" i="2"/>
  <c r="H1245" i="2"/>
  <c r="I1245" i="2"/>
  <c r="D1244" i="2"/>
  <c r="H1244" i="2"/>
  <c r="K1244" i="2"/>
  <c r="J1244" i="2"/>
  <c r="I1244" i="2"/>
  <c r="G1244" i="2"/>
  <c r="F1244" i="2"/>
  <c r="E1244" i="2"/>
  <c r="E1243" i="2"/>
  <c r="H1243" i="2"/>
  <c r="D1243" i="2"/>
  <c r="I1243" i="2"/>
  <c r="F1243" i="2"/>
  <c r="G1243" i="2"/>
  <c r="J1243" i="2"/>
  <c r="K1243" i="2"/>
  <c r="K1242" i="2"/>
  <c r="J1242" i="2"/>
  <c r="I1242" i="2"/>
  <c r="D1242" i="2"/>
  <c r="E1242" i="2"/>
  <c r="F1242" i="2"/>
  <c r="G1242" i="2"/>
  <c r="H1242" i="2"/>
  <c r="D1241" i="2"/>
  <c r="G1241" i="2"/>
  <c r="H1241" i="2"/>
  <c r="I1241" i="2"/>
  <c r="F1241" i="2"/>
  <c r="K1241" i="2"/>
  <c r="J1241" i="2"/>
  <c r="E1241" i="2"/>
  <c r="K1240" i="2"/>
  <c r="F1240" i="2"/>
  <c r="G1240" i="2"/>
  <c r="H1240" i="2"/>
  <c r="D1240" i="2"/>
  <c r="I1240" i="2"/>
  <c r="J1240" i="2"/>
  <c r="E1240" i="2"/>
  <c r="I1239" i="2"/>
  <c r="F1239" i="2"/>
  <c r="E1239" i="2"/>
  <c r="K1239" i="2"/>
  <c r="G1239" i="2"/>
  <c r="H1239" i="2"/>
  <c r="J1239" i="2"/>
  <c r="D1239" i="2"/>
  <c r="H1238" i="2"/>
  <c r="K1238" i="2"/>
  <c r="E1238" i="2"/>
  <c r="J1238" i="2"/>
  <c r="G1238" i="2"/>
  <c r="D1238" i="2"/>
  <c r="I1238" i="2"/>
  <c r="F1238" i="2"/>
  <c r="I1237" i="2"/>
  <c r="H1237" i="2"/>
  <c r="J1237" i="2"/>
  <c r="K1237" i="2"/>
  <c r="E1237" i="2"/>
  <c r="F1237" i="2"/>
  <c r="D1237" i="2"/>
  <c r="G1237" i="2"/>
  <c r="D1236" i="2"/>
  <c r="G1236" i="2"/>
  <c r="E1236" i="2"/>
  <c r="K1236" i="2"/>
  <c r="I1236" i="2"/>
  <c r="J1236" i="2"/>
  <c r="H1236" i="2"/>
  <c r="F1236" i="2"/>
  <c r="E1235" i="2"/>
  <c r="F1235" i="2"/>
  <c r="H1235" i="2"/>
  <c r="G1235" i="2"/>
  <c r="I1235" i="2"/>
  <c r="J1235" i="2"/>
  <c r="K1235" i="2"/>
  <c r="D1235" i="2"/>
  <c r="E1234" i="2"/>
  <c r="K1234" i="2"/>
  <c r="H1234" i="2"/>
  <c r="J1234" i="2"/>
  <c r="I1234" i="2"/>
  <c r="G1234" i="2"/>
  <c r="F1234" i="2"/>
  <c r="D1234" i="2"/>
  <c r="I1233" i="2"/>
  <c r="K1233" i="2"/>
  <c r="F1233" i="2"/>
  <c r="D1233" i="2"/>
  <c r="E1233" i="2"/>
  <c r="G1233" i="2"/>
  <c r="H1233" i="2"/>
  <c r="J1233" i="2"/>
  <c r="K1232" i="2"/>
  <c r="J1232" i="2"/>
  <c r="I1232" i="2"/>
  <c r="G1232" i="2"/>
  <c r="F1232" i="2"/>
  <c r="D1232" i="2"/>
  <c r="E1232" i="2"/>
  <c r="H1232" i="2"/>
  <c r="J1231" i="2"/>
  <c r="K1231" i="2"/>
  <c r="E1231" i="2"/>
  <c r="H1231" i="2"/>
  <c r="G1231" i="2"/>
  <c r="I1231" i="2"/>
  <c r="D1231" i="2"/>
  <c r="F1231" i="2"/>
  <c r="D1230" i="2"/>
  <c r="E1230" i="2"/>
  <c r="F1230" i="2"/>
  <c r="G1230" i="2"/>
  <c r="H1230" i="2"/>
  <c r="I1230" i="2"/>
  <c r="J1230" i="2"/>
  <c r="K1230" i="2"/>
  <c r="E1229" i="2"/>
  <c r="I1229" i="2"/>
  <c r="G1229" i="2"/>
  <c r="F1229" i="2"/>
  <c r="D1229" i="2"/>
  <c r="J1229" i="2"/>
  <c r="H1229" i="2"/>
  <c r="K1229" i="2"/>
  <c r="E1228" i="2"/>
  <c r="H1228" i="2"/>
  <c r="F1228" i="2"/>
  <c r="D1228" i="2"/>
  <c r="G1228" i="2"/>
  <c r="J1228" i="2"/>
  <c r="K1228" i="2"/>
  <c r="I1228" i="2"/>
  <c r="K1227" i="2"/>
  <c r="J1227" i="2"/>
  <c r="D1227" i="2"/>
  <c r="E1227" i="2"/>
  <c r="F1227" i="2"/>
  <c r="G1227" i="2"/>
  <c r="I1227" i="2"/>
  <c r="H1227" i="2"/>
  <c r="I1226" i="2"/>
  <c r="F1226" i="2"/>
  <c r="D1226" i="2"/>
  <c r="J1226" i="2"/>
  <c r="G1226" i="2"/>
  <c r="H1226" i="2"/>
  <c r="K1226" i="2"/>
  <c r="E1226" i="2"/>
  <c r="F1225" i="2"/>
  <c r="D1225" i="2"/>
  <c r="J1225" i="2"/>
  <c r="H1225" i="2"/>
  <c r="G1225" i="2"/>
  <c r="I1225" i="2"/>
  <c r="K1225" i="2"/>
  <c r="E1225" i="2"/>
  <c r="G1224" i="2"/>
  <c r="H1224" i="2"/>
  <c r="I1224" i="2"/>
  <c r="J1224" i="2"/>
  <c r="K1224" i="2"/>
  <c r="D1224" i="2"/>
  <c r="E1224" i="2"/>
  <c r="F1224" i="2"/>
  <c r="F1223" i="2"/>
  <c r="J1223" i="2"/>
  <c r="K1223" i="2"/>
  <c r="H1223" i="2"/>
  <c r="I1223" i="2"/>
  <c r="D1223" i="2"/>
  <c r="E1223" i="2"/>
  <c r="G1223" i="2"/>
  <c r="J1222" i="2"/>
  <c r="I1222" i="2"/>
  <c r="G1222" i="2"/>
  <c r="F1222" i="2"/>
  <c r="H1222" i="2"/>
  <c r="E1222" i="2"/>
  <c r="D1222" i="2"/>
  <c r="K1222" i="2"/>
  <c r="G1221" i="2"/>
  <c r="H1221" i="2"/>
  <c r="I1221" i="2"/>
  <c r="K1221" i="2"/>
  <c r="J1221" i="2"/>
  <c r="F1221" i="2"/>
  <c r="E1221" i="2"/>
  <c r="D1221" i="2"/>
  <c r="J1220" i="2"/>
  <c r="G1220" i="2"/>
  <c r="K1220" i="2"/>
  <c r="D1220" i="2"/>
  <c r="H1220" i="2"/>
  <c r="F1220" i="2"/>
  <c r="I1220" i="2"/>
  <c r="E1220" i="2"/>
  <c r="K1219" i="2"/>
  <c r="D1219" i="2"/>
  <c r="J1219" i="2"/>
  <c r="E1219" i="2"/>
  <c r="F1219" i="2"/>
  <c r="G1219" i="2"/>
  <c r="H1219" i="2"/>
  <c r="I1219" i="2"/>
  <c r="I1218" i="2"/>
  <c r="G1218" i="2"/>
  <c r="K1218" i="2"/>
  <c r="H1218" i="2"/>
  <c r="F1218" i="2"/>
  <c r="D1218" i="2"/>
  <c r="J1218" i="2"/>
  <c r="E1218" i="2"/>
  <c r="H1217" i="2"/>
  <c r="F1217" i="2"/>
  <c r="K1217" i="2"/>
  <c r="G1217" i="2"/>
  <c r="E1217" i="2"/>
  <c r="I1217" i="2"/>
  <c r="J1217" i="2"/>
  <c r="D1217" i="2"/>
  <c r="G1216" i="2"/>
  <c r="H1216" i="2"/>
  <c r="K1216" i="2"/>
  <c r="D1216" i="2"/>
  <c r="F1216" i="2"/>
  <c r="E1216" i="2"/>
  <c r="J1216" i="2"/>
  <c r="I1216" i="2"/>
  <c r="J1215" i="2"/>
  <c r="H1215" i="2"/>
  <c r="G1215" i="2"/>
  <c r="D1215" i="2"/>
  <c r="K1215" i="2"/>
  <c r="I1215" i="2"/>
  <c r="F1215" i="2"/>
  <c r="E1215" i="2"/>
  <c r="H1214" i="2"/>
  <c r="G1214" i="2"/>
  <c r="J1214" i="2"/>
  <c r="I1214" i="2"/>
  <c r="K1214" i="2"/>
  <c r="E1214" i="2"/>
  <c r="D1214" i="2"/>
  <c r="F1214" i="2"/>
  <c r="F1213" i="2"/>
  <c r="D1213" i="2"/>
  <c r="K1213" i="2"/>
  <c r="G1213" i="2"/>
  <c r="H1213" i="2"/>
  <c r="I1213" i="2"/>
  <c r="E1213" i="2"/>
  <c r="J1213" i="2"/>
  <c r="J1212" i="2"/>
  <c r="F1212" i="2"/>
  <c r="E1212" i="2"/>
  <c r="D1212" i="2"/>
  <c r="G1212" i="2"/>
  <c r="K1212" i="2"/>
  <c r="H1212" i="2"/>
  <c r="I1212" i="2"/>
  <c r="F1211" i="2"/>
  <c r="H1211" i="2"/>
  <c r="D1211" i="2"/>
  <c r="J1211" i="2"/>
  <c r="G1211" i="2"/>
  <c r="I1211" i="2"/>
  <c r="K1211" i="2"/>
  <c r="E1211" i="2"/>
  <c r="K1210" i="2"/>
  <c r="G1210" i="2"/>
  <c r="D1210" i="2"/>
  <c r="F1210" i="2"/>
  <c r="E1210" i="2"/>
  <c r="H1210" i="2"/>
  <c r="J1210" i="2"/>
  <c r="I1210" i="2"/>
  <c r="I1209" i="2"/>
  <c r="D1209" i="2"/>
  <c r="H1209" i="2"/>
  <c r="E1209" i="2"/>
  <c r="K1209" i="2"/>
  <c r="F1209" i="2"/>
  <c r="J1209" i="2"/>
  <c r="G1209" i="2"/>
  <c r="K1208" i="2"/>
  <c r="J1208" i="2"/>
  <c r="G1208" i="2"/>
  <c r="D1208" i="2"/>
  <c r="H1208" i="2"/>
  <c r="I1208" i="2"/>
  <c r="F1208" i="2"/>
  <c r="E1208" i="2"/>
  <c r="E1207" i="2"/>
  <c r="D1207" i="2"/>
  <c r="I1207" i="2"/>
  <c r="J1207" i="2"/>
  <c r="F1207" i="2"/>
  <c r="G1207" i="2"/>
  <c r="K1207" i="2"/>
  <c r="H1207" i="2"/>
  <c r="H1206" i="2"/>
  <c r="E1206" i="2"/>
  <c r="F1206" i="2"/>
  <c r="G1206" i="2"/>
  <c r="K1206" i="2"/>
  <c r="J1206" i="2"/>
  <c r="I1206" i="2"/>
  <c r="D1206" i="2"/>
  <c r="K1205" i="2"/>
  <c r="H1205" i="2"/>
  <c r="I1205" i="2"/>
  <c r="F1205" i="2"/>
  <c r="E1205" i="2"/>
  <c r="D1205" i="2"/>
  <c r="J1205" i="2"/>
  <c r="G1205" i="2"/>
  <c r="D1204" i="2"/>
  <c r="J1204" i="2"/>
  <c r="G1204" i="2"/>
  <c r="H1204" i="2"/>
  <c r="F1204" i="2"/>
  <c r="K1204" i="2"/>
  <c r="I1204" i="2"/>
  <c r="E1204" i="2"/>
  <c r="F1203" i="2"/>
  <c r="J1203" i="2"/>
  <c r="D1203" i="2"/>
  <c r="E1203" i="2"/>
  <c r="K1203" i="2"/>
  <c r="I1203" i="2"/>
  <c r="G1203" i="2"/>
  <c r="H1203" i="2"/>
  <c r="G1202" i="2"/>
  <c r="H1202" i="2"/>
  <c r="E1202" i="2"/>
  <c r="D1202" i="2"/>
  <c r="I1202" i="2"/>
  <c r="K1202" i="2"/>
  <c r="F1202" i="2"/>
  <c r="J1202" i="2"/>
  <c r="I1201" i="2"/>
  <c r="K1201" i="2"/>
  <c r="D1201" i="2"/>
  <c r="E1201" i="2"/>
  <c r="J1201" i="2"/>
  <c r="H1201" i="2"/>
  <c r="F1201" i="2"/>
  <c r="G1201" i="2"/>
  <c r="E1200" i="2"/>
  <c r="J1200" i="2"/>
  <c r="G1200" i="2"/>
  <c r="D1200" i="2"/>
  <c r="F1200" i="2"/>
  <c r="H1200" i="2"/>
  <c r="K1200" i="2"/>
  <c r="I1200" i="2"/>
  <c r="D1199" i="2"/>
  <c r="K1199" i="2"/>
  <c r="F1199" i="2"/>
  <c r="J1199" i="2"/>
  <c r="I1199" i="2"/>
  <c r="H1199" i="2"/>
  <c r="E1199" i="2"/>
  <c r="G1199" i="2"/>
  <c r="G1198" i="2"/>
  <c r="E1198" i="2"/>
  <c r="H1198" i="2"/>
  <c r="I1198" i="2"/>
  <c r="J1198" i="2"/>
  <c r="K1198" i="2"/>
  <c r="D1198" i="2"/>
  <c r="F1198" i="2"/>
  <c r="I1197" i="2"/>
  <c r="F1197" i="2"/>
  <c r="G1197" i="2"/>
  <c r="E1197" i="2"/>
  <c r="D1197" i="2"/>
  <c r="K1197" i="2"/>
  <c r="J1197" i="2"/>
  <c r="H1197" i="2"/>
  <c r="H1196" i="2"/>
  <c r="G1196" i="2"/>
  <c r="J1196" i="2"/>
  <c r="D1196" i="2"/>
  <c r="E1196" i="2"/>
  <c r="F1196" i="2"/>
  <c r="I1196" i="2"/>
  <c r="K1196" i="2"/>
  <c r="K1195" i="2"/>
  <c r="F1195" i="2"/>
  <c r="G1195" i="2"/>
  <c r="H1195" i="2"/>
  <c r="J1195" i="2"/>
  <c r="I1195" i="2"/>
  <c r="E1195" i="2"/>
  <c r="D1195" i="2"/>
  <c r="D1194" i="2"/>
  <c r="E1194" i="2"/>
  <c r="F1194" i="2"/>
  <c r="G1194" i="2"/>
  <c r="H1194" i="2"/>
  <c r="I1194" i="2"/>
  <c r="J1194" i="2"/>
  <c r="K1194" i="2"/>
  <c r="K1193" i="2"/>
  <c r="J1193" i="2"/>
  <c r="I1193" i="2"/>
  <c r="H1193" i="2"/>
  <c r="G1193" i="2"/>
  <c r="F1193" i="2"/>
  <c r="E1193" i="2"/>
  <c r="D1193" i="2"/>
  <c r="I1192" i="2"/>
  <c r="G1192" i="2"/>
  <c r="E1192" i="2"/>
  <c r="D1192" i="2"/>
  <c r="F1192" i="2"/>
  <c r="H1192" i="2"/>
  <c r="K1192" i="2"/>
  <c r="J1192" i="2"/>
  <c r="F1191" i="2"/>
  <c r="G1191" i="2"/>
  <c r="I1191" i="2"/>
  <c r="D1191" i="2"/>
  <c r="K1191" i="2"/>
  <c r="E1191" i="2"/>
  <c r="H1191" i="2"/>
  <c r="J1191" i="2"/>
  <c r="D1190" i="2"/>
  <c r="I1190" i="2"/>
  <c r="H1190" i="2"/>
  <c r="G1190" i="2"/>
  <c r="F1190" i="2"/>
  <c r="K1190" i="2"/>
  <c r="J1190" i="2"/>
  <c r="E1190" i="2"/>
  <c r="H1189" i="2"/>
  <c r="G1189" i="2"/>
  <c r="F1189" i="2"/>
  <c r="D1189" i="2"/>
  <c r="I1189" i="2"/>
  <c r="J1189" i="2"/>
  <c r="K1189" i="2"/>
  <c r="E1189" i="2"/>
  <c r="J1188" i="2"/>
  <c r="D1188" i="2"/>
  <c r="G1188" i="2"/>
  <c r="E1188" i="2"/>
  <c r="F1188" i="2"/>
  <c r="I1188" i="2"/>
  <c r="H1188" i="2"/>
  <c r="K1188" i="2"/>
  <c r="I1187" i="2"/>
  <c r="E1187" i="2"/>
  <c r="F1187" i="2"/>
  <c r="G1187" i="2"/>
  <c r="H1187" i="2"/>
  <c r="D1187" i="2"/>
  <c r="K1187" i="2"/>
  <c r="J1187" i="2"/>
  <c r="F1186" i="2"/>
  <c r="H1186" i="2"/>
  <c r="D1186" i="2"/>
  <c r="E1186" i="2"/>
  <c r="G1186" i="2"/>
  <c r="I1186" i="2"/>
  <c r="J1186" i="2"/>
  <c r="K1186" i="2"/>
  <c r="G1185" i="2"/>
  <c r="J1185" i="2"/>
  <c r="I1185" i="2"/>
  <c r="H1185" i="2"/>
  <c r="F1185" i="2"/>
  <c r="E1185" i="2"/>
  <c r="K1185" i="2"/>
  <c r="D1185" i="2"/>
  <c r="F1184" i="2"/>
  <c r="G1184" i="2"/>
  <c r="E1184" i="2"/>
  <c r="K1184" i="2"/>
  <c r="J1184" i="2"/>
  <c r="D1184" i="2"/>
  <c r="I1184" i="2"/>
  <c r="H1184" i="2"/>
  <c r="E1183" i="2"/>
  <c r="D1183" i="2"/>
  <c r="J1183" i="2"/>
  <c r="K1183" i="2"/>
  <c r="G1183" i="2"/>
  <c r="F1183" i="2"/>
  <c r="H1183" i="2"/>
  <c r="I1183" i="2"/>
  <c r="J1182" i="2"/>
  <c r="E1182" i="2"/>
  <c r="G1182" i="2"/>
  <c r="F1182" i="2"/>
  <c r="I1182" i="2"/>
  <c r="D1182" i="2"/>
  <c r="H1182" i="2"/>
  <c r="K1182" i="2"/>
  <c r="H1181" i="2"/>
  <c r="D1181" i="2"/>
  <c r="I1181" i="2"/>
  <c r="J1181" i="2"/>
  <c r="G1181" i="2"/>
  <c r="K1181" i="2"/>
  <c r="E1181" i="2"/>
  <c r="F1181" i="2"/>
  <c r="G1180" i="2"/>
  <c r="D1180" i="2"/>
  <c r="I1180" i="2"/>
  <c r="H1180" i="2"/>
  <c r="E1180" i="2"/>
  <c r="J1180" i="2"/>
  <c r="F1180" i="2"/>
  <c r="K1180" i="2"/>
  <c r="H1179" i="2"/>
  <c r="F1179" i="2"/>
  <c r="E1179" i="2"/>
  <c r="G1179" i="2"/>
  <c r="D1179" i="2"/>
  <c r="I1179" i="2"/>
  <c r="J1179" i="2"/>
  <c r="K1179" i="2"/>
  <c r="G1178" i="2"/>
  <c r="H1178" i="2"/>
  <c r="I1178" i="2"/>
  <c r="K1178" i="2"/>
  <c r="E1178" i="2"/>
  <c r="F1178" i="2"/>
  <c r="D1178" i="2"/>
  <c r="J1178" i="2"/>
  <c r="F1177" i="2"/>
  <c r="I1177" i="2"/>
  <c r="E1177" i="2"/>
  <c r="D1177" i="2"/>
  <c r="K1177" i="2"/>
  <c r="J1177" i="2"/>
  <c r="H1177" i="2"/>
  <c r="G1177" i="2"/>
  <c r="I1176" i="2"/>
  <c r="G1176" i="2"/>
  <c r="E1176" i="2"/>
  <c r="J1176" i="2"/>
  <c r="H1176" i="2"/>
  <c r="F1176" i="2"/>
  <c r="D1176" i="2"/>
  <c r="K1176" i="2"/>
  <c r="E1175" i="2"/>
  <c r="J1175" i="2"/>
  <c r="D1175" i="2"/>
  <c r="F1175" i="2"/>
  <c r="H1175" i="2"/>
  <c r="K1175" i="2"/>
  <c r="I1175" i="2"/>
  <c r="G1175" i="2"/>
  <c r="F1174" i="2"/>
  <c r="H1174" i="2"/>
  <c r="I1174" i="2"/>
  <c r="D1174" i="2"/>
  <c r="K1174" i="2"/>
  <c r="G1174" i="2"/>
  <c r="J1174" i="2"/>
  <c r="E1174" i="2"/>
  <c r="D1173" i="2"/>
  <c r="E1173" i="2"/>
  <c r="F1173" i="2"/>
  <c r="I1173" i="2"/>
  <c r="G1173" i="2"/>
  <c r="H1173" i="2"/>
  <c r="J1173" i="2"/>
  <c r="K1173" i="2"/>
  <c r="H1172" i="2"/>
  <c r="F1172" i="2"/>
  <c r="J1172" i="2"/>
  <c r="K1172" i="2"/>
  <c r="I1172" i="2"/>
  <c r="E1172" i="2"/>
  <c r="D1172" i="2"/>
  <c r="G1172" i="2"/>
  <c r="J1171" i="2"/>
  <c r="H1171" i="2"/>
  <c r="E1171" i="2"/>
  <c r="F1171" i="2"/>
  <c r="K1171" i="2"/>
  <c r="G1171" i="2"/>
  <c r="I1171" i="2"/>
  <c r="D1171" i="2"/>
  <c r="H1170" i="2"/>
  <c r="G1170" i="2"/>
  <c r="F1170" i="2"/>
  <c r="E1170" i="2"/>
  <c r="J1170" i="2"/>
  <c r="I1170" i="2"/>
  <c r="K1170" i="2"/>
  <c r="D1170" i="2"/>
  <c r="F1169" i="2"/>
  <c r="I1169" i="2"/>
  <c r="K1169" i="2"/>
  <c r="H1169" i="2"/>
  <c r="E1169" i="2"/>
  <c r="D1169" i="2"/>
  <c r="J1169" i="2"/>
  <c r="G1169" i="2"/>
  <c r="I1168" i="2"/>
  <c r="D1168" i="2"/>
  <c r="J1168" i="2"/>
  <c r="E1168" i="2"/>
  <c r="K1168" i="2"/>
  <c r="F1168" i="2"/>
  <c r="G1168" i="2"/>
  <c r="H1168" i="2"/>
  <c r="H1167" i="2"/>
  <c r="D1167" i="2"/>
  <c r="E1167" i="2"/>
  <c r="F1167" i="2"/>
  <c r="G1167" i="2"/>
  <c r="J1167" i="2"/>
  <c r="K1167" i="2"/>
  <c r="I1167" i="2"/>
  <c r="K1166" i="2"/>
  <c r="E1166" i="2"/>
  <c r="I1166" i="2"/>
  <c r="F1166" i="2"/>
  <c r="J1166" i="2"/>
  <c r="G1166" i="2"/>
  <c r="D1166" i="2"/>
  <c r="H1166" i="2"/>
  <c r="D1165" i="2"/>
  <c r="I1165" i="2"/>
  <c r="J1165" i="2"/>
  <c r="K1165" i="2"/>
  <c r="H1165" i="2"/>
  <c r="G1165" i="2"/>
  <c r="F1165" i="2"/>
  <c r="E1165" i="2"/>
  <c r="K1164" i="2"/>
  <c r="G1164" i="2"/>
  <c r="F1164" i="2"/>
  <c r="H1164" i="2"/>
  <c r="E1164" i="2"/>
  <c r="D1164" i="2"/>
  <c r="I1164" i="2"/>
  <c r="J1164" i="2"/>
  <c r="E1163" i="2"/>
  <c r="K1163" i="2"/>
  <c r="F1163" i="2"/>
  <c r="H1163" i="2"/>
  <c r="J1163" i="2"/>
  <c r="I1163" i="2"/>
  <c r="D1163" i="2"/>
  <c r="G1163" i="2"/>
  <c r="J1162" i="2"/>
  <c r="K1162" i="2"/>
  <c r="F1162" i="2"/>
  <c r="I1162" i="2"/>
  <c r="H1162" i="2"/>
  <c r="G1162" i="2"/>
  <c r="E1162" i="2"/>
  <c r="D1162" i="2"/>
  <c r="F1161" i="2"/>
  <c r="I1161" i="2"/>
  <c r="D1161" i="2"/>
  <c r="G1161" i="2"/>
  <c r="J1161" i="2"/>
  <c r="K1161" i="2"/>
  <c r="H1161" i="2"/>
  <c r="E1161" i="2"/>
  <c r="E1160" i="2"/>
  <c r="F1160" i="2"/>
  <c r="D1160" i="2"/>
  <c r="I1160" i="2"/>
  <c r="J1160" i="2"/>
  <c r="H1160" i="2"/>
  <c r="G1160" i="2"/>
  <c r="K1160" i="2"/>
  <c r="H1159" i="2"/>
  <c r="F1159" i="2"/>
  <c r="K1159" i="2"/>
  <c r="I1159" i="2"/>
  <c r="D1159" i="2"/>
  <c r="J1159" i="2"/>
  <c r="G1159" i="2"/>
  <c r="E1159" i="2"/>
  <c r="F1158" i="2"/>
  <c r="K1158" i="2"/>
  <c r="J1158" i="2"/>
  <c r="I1158" i="2"/>
  <c r="H1158" i="2"/>
  <c r="G1158" i="2"/>
  <c r="E1158" i="2"/>
  <c r="D1158" i="2"/>
  <c r="E1157" i="2"/>
  <c r="D1157" i="2"/>
  <c r="K1157" i="2"/>
  <c r="J1157" i="2"/>
  <c r="I1157" i="2"/>
  <c r="H1157" i="2"/>
  <c r="G1157" i="2"/>
  <c r="F1157" i="2"/>
  <c r="F1156" i="2"/>
  <c r="E1156" i="2"/>
  <c r="J1156" i="2"/>
  <c r="D1156" i="2"/>
  <c r="H1156" i="2"/>
  <c r="G1156" i="2"/>
  <c r="K1156" i="2"/>
  <c r="I1156" i="2"/>
  <c r="H1155" i="2"/>
  <c r="G1155" i="2"/>
  <c r="F1155" i="2"/>
  <c r="E1155" i="2"/>
  <c r="D1155" i="2"/>
  <c r="J1155" i="2"/>
  <c r="I1155" i="2"/>
  <c r="K1155" i="2"/>
  <c r="G1154" i="2"/>
  <c r="E1154" i="2"/>
  <c r="K1154" i="2"/>
  <c r="J1154" i="2"/>
  <c r="I1154" i="2"/>
  <c r="H1154" i="2"/>
  <c r="D1154" i="2"/>
  <c r="F1154" i="2"/>
  <c r="F1153" i="2"/>
  <c r="E1153" i="2"/>
  <c r="D1153" i="2"/>
  <c r="G1153" i="2"/>
  <c r="K1153" i="2"/>
  <c r="J1153" i="2"/>
  <c r="I1153" i="2"/>
  <c r="H1153" i="2"/>
  <c r="I1152" i="2"/>
  <c r="F1152" i="2"/>
  <c r="H1152" i="2"/>
  <c r="K1152" i="2"/>
  <c r="D1152" i="2"/>
  <c r="E1152" i="2"/>
  <c r="J1152" i="2"/>
  <c r="G1152" i="2"/>
  <c r="K1151" i="2"/>
  <c r="J1151" i="2"/>
  <c r="I1151" i="2"/>
  <c r="H1151" i="2"/>
  <c r="D1151" i="2"/>
  <c r="E1151" i="2"/>
  <c r="F1151" i="2"/>
  <c r="G1151" i="2"/>
  <c r="K1150" i="2"/>
  <c r="I1150" i="2"/>
  <c r="J1150" i="2"/>
  <c r="H1150" i="2"/>
  <c r="D1150" i="2"/>
  <c r="E1150" i="2"/>
  <c r="F1150" i="2"/>
  <c r="G1150" i="2"/>
  <c r="G1149" i="2"/>
  <c r="H1149" i="2"/>
  <c r="E1149" i="2"/>
  <c r="F1149" i="2"/>
  <c r="I1149" i="2"/>
  <c r="J1149" i="2"/>
  <c r="D1149" i="2"/>
  <c r="K1149" i="2"/>
  <c r="K1148" i="2"/>
  <c r="F1148" i="2"/>
  <c r="D1148" i="2"/>
  <c r="E1148" i="2"/>
  <c r="J1148" i="2"/>
  <c r="I1148" i="2"/>
  <c r="H1148" i="2"/>
  <c r="G1148" i="2"/>
  <c r="G1147" i="2"/>
  <c r="F1147" i="2"/>
  <c r="E1147" i="2"/>
  <c r="D1147" i="2"/>
  <c r="J1147" i="2"/>
  <c r="I1147" i="2"/>
  <c r="H1147" i="2"/>
  <c r="K1147" i="2"/>
  <c r="E1146" i="2"/>
  <c r="G1146" i="2"/>
  <c r="D1146" i="2"/>
  <c r="I1146" i="2"/>
  <c r="H1146" i="2"/>
  <c r="J1146" i="2"/>
  <c r="F1146" i="2"/>
  <c r="K1146" i="2"/>
  <c r="K1145" i="2"/>
  <c r="J1145" i="2"/>
  <c r="D1145" i="2"/>
  <c r="F1145" i="2"/>
  <c r="I1145" i="2"/>
  <c r="H1145" i="2"/>
  <c r="E1145" i="2"/>
  <c r="G1145" i="2"/>
  <c r="E1144" i="2"/>
  <c r="J1144" i="2"/>
  <c r="I1144" i="2"/>
  <c r="G1144" i="2"/>
  <c r="K1144" i="2"/>
  <c r="F1144" i="2"/>
  <c r="D1144" i="2"/>
  <c r="H1144" i="2"/>
  <c r="G1143" i="2"/>
  <c r="H1143" i="2"/>
  <c r="I1143" i="2"/>
  <c r="J1143" i="2"/>
  <c r="K1143" i="2"/>
  <c r="D1143" i="2"/>
  <c r="E1143" i="2"/>
  <c r="F1143" i="2"/>
  <c r="G1142" i="2"/>
  <c r="I1142" i="2"/>
  <c r="H1142" i="2"/>
  <c r="E1142" i="2"/>
  <c r="D1142" i="2"/>
  <c r="K1142" i="2"/>
  <c r="J1142" i="2"/>
  <c r="F1142" i="2"/>
  <c r="K1141" i="2"/>
  <c r="D1141" i="2"/>
  <c r="H1141" i="2"/>
  <c r="F1141" i="2"/>
  <c r="I1141" i="2"/>
  <c r="G1141" i="2"/>
  <c r="E1141" i="2"/>
  <c r="J1141" i="2"/>
  <c r="E1140" i="2"/>
  <c r="J1140" i="2"/>
  <c r="F1140" i="2"/>
  <c r="G1140" i="2"/>
  <c r="H1140" i="2"/>
  <c r="I1140" i="2"/>
  <c r="D1140" i="2"/>
  <c r="K1140" i="2"/>
  <c r="I1139" i="2"/>
  <c r="K1139" i="2"/>
  <c r="J1139" i="2"/>
  <c r="D1139" i="2"/>
  <c r="E1139" i="2"/>
  <c r="F1139" i="2"/>
  <c r="G1139" i="2"/>
  <c r="H1139" i="2"/>
  <c r="F1138" i="2"/>
  <c r="E1138" i="2"/>
  <c r="D1138" i="2"/>
  <c r="I1138" i="2"/>
  <c r="J1138" i="2"/>
  <c r="G1138" i="2"/>
  <c r="H1138" i="2"/>
  <c r="K1138" i="2"/>
  <c r="D1137" i="2"/>
  <c r="I1137" i="2"/>
  <c r="J1137" i="2"/>
  <c r="H1137" i="2"/>
  <c r="G1137" i="2"/>
  <c r="F1137" i="2"/>
  <c r="E1137" i="2"/>
  <c r="K1137" i="2"/>
  <c r="J1136" i="2"/>
  <c r="G1136" i="2"/>
  <c r="E1136" i="2"/>
  <c r="I1136" i="2"/>
  <c r="K1136" i="2"/>
  <c r="F1136" i="2"/>
  <c r="D1136" i="2"/>
  <c r="H1136" i="2"/>
  <c r="E1135" i="2"/>
  <c r="G1135" i="2"/>
  <c r="D1135" i="2"/>
  <c r="F1135" i="2"/>
  <c r="H1135" i="2"/>
  <c r="K1135" i="2"/>
  <c r="I1135" i="2"/>
  <c r="J1135" i="2"/>
  <c r="E1134" i="2"/>
  <c r="K1134" i="2"/>
  <c r="J1134" i="2"/>
  <c r="I1134" i="2"/>
  <c r="D1134" i="2"/>
  <c r="H1134" i="2"/>
  <c r="G1134" i="2"/>
  <c r="F1134" i="2"/>
  <c r="F1133" i="2"/>
  <c r="I1133" i="2"/>
  <c r="E1133" i="2"/>
  <c r="J1133" i="2"/>
  <c r="H1133" i="2"/>
  <c r="G1133" i="2"/>
  <c r="D1133" i="2"/>
  <c r="K1133" i="2"/>
  <c r="D1132" i="2"/>
  <c r="H1132" i="2"/>
  <c r="G1132" i="2"/>
  <c r="J1132" i="2"/>
  <c r="F1132" i="2"/>
  <c r="E1132" i="2"/>
  <c r="K1132" i="2"/>
  <c r="I1132" i="2"/>
  <c r="D1131" i="2"/>
  <c r="E1131" i="2"/>
  <c r="F1131" i="2"/>
  <c r="G1131" i="2"/>
  <c r="H1131" i="2"/>
  <c r="I1131" i="2"/>
  <c r="J1131" i="2"/>
  <c r="K1131" i="2"/>
  <c r="G1130" i="2"/>
  <c r="F1130" i="2"/>
  <c r="E1130" i="2"/>
  <c r="D1130" i="2"/>
  <c r="I1130" i="2"/>
  <c r="K1130" i="2"/>
  <c r="J1130" i="2"/>
  <c r="H1130" i="2"/>
  <c r="E1129" i="2"/>
  <c r="D1129" i="2"/>
  <c r="K1129" i="2"/>
  <c r="I1129" i="2"/>
  <c r="H1129" i="2"/>
  <c r="G1129" i="2"/>
  <c r="J1129" i="2"/>
  <c r="F1129" i="2"/>
  <c r="H1128" i="2"/>
  <c r="D1128" i="2"/>
  <c r="K1128" i="2"/>
  <c r="J1128" i="2"/>
  <c r="E1128" i="2"/>
  <c r="F1128" i="2"/>
  <c r="G1128" i="2"/>
  <c r="I1128" i="2"/>
  <c r="E1127" i="2"/>
  <c r="D1127" i="2"/>
  <c r="K1127" i="2"/>
  <c r="J1127" i="2"/>
  <c r="H1127" i="2"/>
  <c r="F1127" i="2"/>
  <c r="G1127" i="2"/>
  <c r="I1127" i="2"/>
  <c r="G1126" i="2"/>
  <c r="D1126" i="2"/>
  <c r="E1126" i="2"/>
  <c r="K1126" i="2"/>
  <c r="F1126" i="2"/>
  <c r="H1126" i="2"/>
  <c r="J1126" i="2"/>
  <c r="I1126" i="2"/>
  <c r="K1125" i="2"/>
  <c r="G1125" i="2"/>
  <c r="E1125" i="2"/>
  <c r="I1125" i="2"/>
  <c r="J1125" i="2"/>
  <c r="F1125" i="2"/>
  <c r="H1125" i="2"/>
  <c r="D1125" i="2"/>
  <c r="D1124" i="2"/>
  <c r="K1124" i="2"/>
  <c r="F1124" i="2"/>
  <c r="H1124" i="2"/>
  <c r="E1124" i="2"/>
  <c r="G1124" i="2"/>
  <c r="J1124" i="2"/>
  <c r="I1124" i="2"/>
  <c r="K1123" i="2"/>
  <c r="E1123" i="2"/>
  <c r="D1123" i="2"/>
  <c r="J1123" i="2"/>
  <c r="H1123" i="2"/>
  <c r="F1123" i="2"/>
  <c r="G1123" i="2"/>
  <c r="I1123" i="2"/>
  <c r="I1122" i="2"/>
  <c r="G1122" i="2"/>
  <c r="E1122" i="2"/>
  <c r="D1122" i="2"/>
  <c r="F1122" i="2"/>
  <c r="J1122" i="2"/>
  <c r="H1122" i="2"/>
  <c r="K1122" i="2"/>
  <c r="F1121" i="2"/>
  <c r="E1121" i="2"/>
  <c r="J1121" i="2"/>
  <c r="K1121" i="2"/>
  <c r="I1121" i="2"/>
  <c r="H1121" i="2"/>
  <c r="G1121" i="2"/>
  <c r="D1121" i="2"/>
  <c r="E1120" i="2"/>
  <c r="J1120" i="2"/>
  <c r="K1120" i="2"/>
  <c r="I1120" i="2"/>
  <c r="G1120" i="2"/>
  <c r="D1120" i="2"/>
  <c r="H1120" i="2"/>
  <c r="F1120" i="2"/>
  <c r="G1119" i="2"/>
  <c r="H1119" i="2"/>
  <c r="I1119" i="2"/>
  <c r="J1119" i="2"/>
  <c r="K1119" i="2"/>
  <c r="D1119" i="2"/>
  <c r="E1119" i="2"/>
  <c r="F1119" i="2"/>
  <c r="G1118" i="2"/>
  <c r="I1118" i="2"/>
  <c r="H1118" i="2"/>
  <c r="K1118" i="2"/>
  <c r="D1118" i="2"/>
  <c r="E1118" i="2"/>
  <c r="J1118" i="2"/>
  <c r="F1118" i="2"/>
  <c r="I1117" i="2"/>
  <c r="D1117" i="2"/>
  <c r="E1117" i="2"/>
  <c r="F1117" i="2"/>
  <c r="G1117" i="2"/>
  <c r="H1117" i="2"/>
  <c r="J1117" i="2"/>
  <c r="K1117" i="2"/>
  <c r="D1116" i="2"/>
  <c r="K1116" i="2"/>
  <c r="F1116" i="2"/>
  <c r="G1116" i="2"/>
  <c r="H1116" i="2"/>
  <c r="I1116" i="2"/>
  <c r="J1116" i="2"/>
  <c r="E1116" i="2"/>
  <c r="K1115" i="2"/>
  <c r="J1115" i="2"/>
  <c r="I1115" i="2"/>
  <c r="D1115" i="2"/>
  <c r="G1115" i="2"/>
  <c r="H1115" i="2"/>
  <c r="E1115" i="2"/>
  <c r="F1115" i="2"/>
  <c r="J1114" i="2"/>
  <c r="K1114" i="2"/>
  <c r="I1114" i="2"/>
  <c r="H1114" i="2"/>
  <c r="G1114" i="2"/>
  <c r="F1114" i="2"/>
  <c r="E1114" i="2"/>
  <c r="D1114" i="2"/>
  <c r="F1113" i="2"/>
  <c r="J1113" i="2"/>
  <c r="I1113" i="2"/>
  <c r="E1113" i="2"/>
  <c r="D1113" i="2"/>
  <c r="G1113" i="2"/>
  <c r="H1113" i="2"/>
  <c r="K1113" i="2"/>
  <c r="F1112" i="2"/>
  <c r="D1112" i="2"/>
  <c r="E1112" i="2"/>
  <c r="H1112" i="2"/>
  <c r="J1112" i="2"/>
  <c r="I1112" i="2"/>
  <c r="K1112" i="2"/>
  <c r="G1112" i="2"/>
  <c r="H1111" i="2"/>
  <c r="I1111" i="2"/>
  <c r="J1111" i="2"/>
  <c r="K1111" i="2"/>
  <c r="D1111" i="2"/>
  <c r="E1111" i="2"/>
  <c r="G1111" i="2"/>
  <c r="F1111" i="2"/>
  <c r="F1110" i="2"/>
  <c r="J1110" i="2"/>
  <c r="K1110" i="2"/>
  <c r="H1110" i="2"/>
  <c r="D1110" i="2"/>
  <c r="I1110" i="2"/>
  <c r="E1110" i="2"/>
  <c r="G1110" i="2"/>
  <c r="K1109" i="2"/>
  <c r="J1109" i="2"/>
  <c r="H1109" i="2"/>
  <c r="E1109" i="2"/>
  <c r="G1109" i="2"/>
  <c r="D1109" i="2"/>
  <c r="F1109" i="2"/>
  <c r="I1109" i="2"/>
  <c r="F1108" i="2"/>
  <c r="E1108" i="2"/>
  <c r="D1108" i="2"/>
  <c r="K1108" i="2"/>
  <c r="J1108" i="2"/>
  <c r="I1108" i="2"/>
  <c r="G1108" i="2"/>
  <c r="H1108" i="2"/>
  <c r="H1107" i="2"/>
  <c r="K1107" i="2"/>
  <c r="F1107" i="2"/>
  <c r="J1107" i="2"/>
  <c r="E1107" i="2"/>
  <c r="G1107" i="2"/>
  <c r="I1107" i="2"/>
  <c r="D1107" i="2"/>
  <c r="F1106" i="2"/>
  <c r="E1106" i="2"/>
  <c r="G1106" i="2"/>
  <c r="D1106" i="2"/>
  <c r="H1106" i="2"/>
  <c r="J1106" i="2"/>
  <c r="K1106" i="2"/>
  <c r="I1106" i="2"/>
  <c r="J1105" i="2"/>
  <c r="I1105" i="2"/>
  <c r="H1105" i="2"/>
  <c r="F1105" i="2"/>
  <c r="G1105" i="2"/>
  <c r="D1105" i="2"/>
  <c r="E1105" i="2"/>
  <c r="K1105" i="2"/>
  <c r="J1104" i="2"/>
  <c r="D1104" i="2"/>
  <c r="K1104" i="2"/>
  <c r="F1104" i="2"/>
  <c r="E1104" i="2"/>
  <c r="H1104" i="2"/>
  <c r="G1104" i="2"/>
  <c r="I1104" i="2"/>
  <c r="J1103" i="2"/>
  <c r="E1103" i="2"/>
  <c r="I1103" i="2"/>
  <c r="G1103" i="2"/>
  <c r="K1103" i="2"/>
  <c r="F1103" i="2"/>
  <c r="D1103" i="2"/>
  <c r="H1103" i="2"/>
  <c r="F1102" i="2"/>
  <c r="E1102" i="2"/>
  <c r="D1102" i="2"/>
  <c r="I1102" i="2"/>
  <c r="G1102" i="2"/>
  <c r="J1102" i="2"/>
  <c r="K1102" i="2"/>
  <c r="H1102" i="2"/>
  <c r="E1101" i="2"/>
  <c r="F1101" i="2"/>
  <c r="I1101" i="2"/>
  <c r="D1101" i="2"/>
  <c r="K1101" i="2"/>
  <c r="J1101" i="2"/>
  <c r="H1101" i="2"/>
  <c r="G1101" i="2"/>
  <c r="D1100" i="2"/>
  <c r="E1100" i="2"/>
  <c r="F1100" i="2"/>
  <c r="G1100" i="2"/>
  <c r="I1100" i="2"/>
  <c r="H1100" i="2"/>
  <c r="K1100" i="2"/>
  <c r="J1100" i="2"/>
  <c r="J1099" i="2"/>
  <c r="D1099" i="2"/>
  <c r="E1099" i="2"/>
  <c r="F1099" i="2"/>
  <c r="G1099" i="2"/>
  <c r="I1099" i="2"/>
  <c r="K1099" i="2"/>
  <c r="H1099" i="2"/>
  <c r="G1098" i="2"/>
  <c r="I1098" i="2"/>
  <c r="F1098" i="2"/>
  <c r="K1098" i="2"/>
  <c r="D1098" i="2"/>
  <c r="E1098" i="2"/>
  <c r="H1098" i="2"/>
  <c r="J1098" i="2"/>
  <c r="E1097" i="2"/>
  <c r="D1097" i="2"/>
  <c r="K1097" i="2"/>
  <c r="J1097" i="2"/>
  <c r="H1097" i="2"/>
  <c r="I1097" i="2"/>
  <c r="F1097" i="2"/>
  <c r="G1097" i="2"/>
  <c r="G1096" i="2"/>
  <c r="I1096" i="2"/>
  <c r="J1096" i="2"/>
  <c r="K1096" i="2"/>
  <c r="H1096" i="2"/>
  <c r="D1096" i="2"/>
  <c r="E1096" i="2"/>
  <c r="F1096" i="2"/>
  <c r="J1095" i="2"/>
  <c r="K1095" i="2"/>
  <c r="E1095" i="2"/>
  <c r="F1095" i="2"/>
  <c r="H1095" i="2"/>
  <c r="G1095" i="2"/>
  <c r="D1095" i="2"/>
  <c r="I1095" i="2"/>
  <c r="J1094" i="2"/>
  <c r="I1094" i="2"/>
  <c r="H1094" i="2"/>
  <c r="K1094" i="2"/>
  <c r="G1094" i="2"/>
  <c r="F1094" i="2"/>
  <c r="E1094" i="2"/>
  <c r="D1094" i="2"/>
  <c r="G1093" i="2"/>
  <c r="H1093" i="2"/>
  <c r="E1093" i="2"/>
  <c r="D1093" i="2"/>
  <c r="I1093" i="2"/>
  <c r="J1093" i="2"/>
  <c r="K1093" i="2"/>
  <c r="F1093" i="2"/>
  <c r="K1092" i="2"/>
  <c r="J1092" i="2"/>
  <c r="I1092" i="2"/>
  <c r="D1092" i="2"/>
  <c r="E1092" i="2"/>
  <c r="F1092" i="2"/>
  <c r="G1092" i="2"/>
  <c r="H1092" i="2"/>
  <c r="G1091" i="2"/>
  <c r="J1091" i="2"/>
  <c r="E1091" i="2"/>
  <c r="K1091" i="2"/>
  <c r="I1091" i="2"/>
  <c r="H1091" i="2"/>
  <c r="F1091" i="2"/>
  <c r="D1091" i="2"/>
  <c r="G1090" i="2"/>
  <c r="H1090" i="2"/>
  <c r="F1090" i="2"/>
  <c r="D1090" i="2"/>
  <c r="E1090" i="2"/>
  <c r="K1090" i="2"/>
  <c r="J1090" i="2"/>
  <c r="I1090" i="2"/>
  <c r="K1089" i="2"/>
  <c r="J1089" i="2"/>
  <c r="F1089" i="2"/>
  <c r="D1089" i="2"/>
  <c r="E1089" i="2"/>
  <c r="G1089" i="2"/>
  <c r="I1089" i="2"/>
  <c r="H1089" i="2"/>
  <c r="G1088" i="2"/>
  <c r="D1088" i="2"/>
  <c r="E1088" i="2"/>
  <c r="F1088" i="2"/>
  <c r="I1088" i="2"/>
  <c r="J1088" i="2"/>
  <c r="K1088" i="2"/>
  <c r="H1088" i="2"/>
  <c r="G1087" i="2"/>
  <c r="H1087" i="2"/>
  <c r="I1087" i="2"/>
  <c r="J1087" i="2"/>
  <c r="K1087" i="2"/>
  <c r="E1087" i="2"/>
  <c r="F1087" i="2"/>
  <c r="D1087" i="2"/>
  <c r="I1081" i="2"/>
  <c r="H1081" i="2"/>
  <c r="G1081" i="2"/>
  <c r="F1081" i="2"/>
  <c r="E1081" i="2"/>
  <c r="J1081" i="2"/>
  <c r="D1081" i="2"/>
  <c r="K1081" i="2"/>
  <c r="K1083" i="2"/>
  <c r="J1083" i="2"/>
  <c r="G1083" i="2"/>
  <c r="E1083" i="2"/>
  <c r="F1083" i="2"/>
  <c r="H1083" i="2"/>
  <c r="I1083" i="2"/>
  <c r="D1083" i="2"/>
  <c r="J1082" i="2"/>
  <c r="D1082" i="2"/>
  <c r="E1082" i="2"/>
  <c r="G1082" i="2"/>
  <c r="H1082" i="2"/>
  <c r="I1082" i="2"/>
  <c r="K1082" i="2"/>
  <c r="F1082" i="2"/>
  <c r="J1086" i="2"/>
  <c r="H1086" i="2"/>
  <c r="G1086" i="2"/>
  <c r="F1086" i="2"/>
  <c r="D1086" i="2"/>
  <c r="K1086" i="2"/>
  <c r="E1086" i="2"/>
  <c r="I1086" i="2"/>
  <c r="J1085" i="2"/>
  <c r="F1085" i="2"/>
  <c r="K1085" i="2"/>
  <c r="E1085" i="2"/>
  <c r="D1085" i="2"/>
  <c r="H1085" i="2"/>
  <c r="G1085" i="2"/>
  <c r="I1085" i="2"/>
  <c r="E1084" i="2"/>
  <c r="K1084" i="2"/>
  <c r="J1084" i="2"/>
  <c r="I1084" i="2"/>
  <c r="H1084" i="2"/>
  <c r="G1084" i="2"/>
  <c r="F1084" i="2"/>
  <c r="D1084" i="2"/>
  <c r="G1080" i="2"/>
  <c r="K1080" i="2"/>
  <c r="I1080" i="2"/>
  <c r="E1080" i="2"/>
  <c r="H1080" i="2"/>
  <c r="D1080" i="2"/>
  <c r="F1080" i="2"/>
  <c r="J1080" i="2"/>
  <c r="H1079" i="2"/>
  <c r="I1079" i="2"/>
  <c r="D1079" i="2"/>
  <c r="J1079" i="2"/>
  <c r="E1079" i="2"/>
  <c r="G1079" i="2"/>
  <c r="F1079" i="2"/>
  <c r="K1079" i="2"/>
  <c r="E1078" i="2"/>
  <c r="F1078" i="2"/>
  <c r="H1078" i="2"/>
  <c r="D1078" i="2"/>
  <c r="G1078" i="2"/>
  <c r="I1078" i="2"/>
  <c r="J1078" i="2"/>
  <c r="K1078" i="2"/>
  <c r="I1077" i="2"/>
  <c r="J1077" i="2"/>
  <c r="K1077" i="2"/>
  <c r="D1077" i="2"/>
  <c r="E1077" i="2"/>
  <c r="F1077" i="2"/>
  <c r="G1077" i="2"/>
  <c r="H1077" i="2"/>
  <c r="J1076" i="2"/>
  <c r="K1076" i="2"/>
  <c r="H1076" i="2"/>
  <c r="I1076" i="2"/>
  <c r="E1076" i="2"/>
  <c r="F1076" i="2"/>
  <c r="D1076" i="2"/>
  <c r="G1076" i="2"/>
  <c r="K1075" i="2"/>
  <c r="I1075" i="2"/>
  <c r="E1075" i="2"/>
  <c r="J1075" i="2"/>
  <c r="D1075" i="2"/>
  <c r="G1075" i="2"/>
  <c r="F1075" i="2"/>
  <c r="H1075" i="2"/>
  <c r="J1074" i="2"/>
  <c r="I1074" i="2"/>
  <c r="G1074" i="2"/>
  <c r="E1074" i="2"/>
  <c r="D1074" i="2"/>
  <c r="K1074" i="2"/>
  <c r="H1074" i="2"/>
  <c r="F1074" i="2"/>
  <c r="K1073" i="2"/>
  <c r="G1073" i="2"/>
  <c r="I1073" i="2"/>
  <c r="D1073" i="2"/>
  <c r="J1073" i="2"/>
  <c r="H1073" i="2"/>
  <c r="F1073" i="2"/>
  <c r="E1073" i="2"/>
  <c r="D1072" i="2"/>
  <c r="E1072" i="2"/>
  <c r="F1072" i="2"/>
  <c r="G1072" i="2"/>
  <c r="H1072" i="2"/>
  <c r="I1072" i="2"/>
  <c r="J1072" i="2"/>
  <c r="K1072" i="2"/>
  <c r="F1071" i="2"/>
  <c r="E1071" i="2"/>
  <c r="I1071" i="2"/>
  <c r="G1071" i="2"/>
  <c r="K1071" i="2"/>
  <c r="H1071" i="2"/>
  <c r="D1071" i="2"/>
  <c r="J1071" i="2"/>
  <c r="I1070" i="2"/>
  <c r="D1070" i="2"/>
  <c r="K1070" i="2"/>
  <c r="J1070" i="2"/>
  <c r="H1070" i="2"/>
  <c r="F1070" i="2"/>
  <c r="E1070" i="2"/>
  <c r="G1070" i="2"/>
  <c r="D1069" i="2"/>
  <c r="K1069" i="2"/>
  <c r="E1069" i="2"/>
  <c r="F1069" i="2"/>
  <c r="G1069" i="2"/>
  <c r="I1069" i="2"/>
  <c r="H1069" i="2"/>
  <c r="J1069" i="2"/>
  <c r="E1068" i="2"/>
  <c r="D1068" i="2"/>
  <c r="H1068" i="2"/>
  <c r="G1068" i="2"/>
  <c r="F1068" i="2"/>
  <c r="K1068" i="2"/>
  <c r="J1068" i="2"/>
  <c r="I1068" i="2"/>
  <c r="F1067" i="2"/>
  <c r="G1067" i="2"/>
  <c r="H1067" i="2"/>
  <c r="E1067" i="2"/>
  <c r="I1067" i="2"/>
  <c r="D1067" i="2"/>
  <c r="J1067" i="2"/>
  <c r="K1067" i="2"/>
  <c r="G1066" i="2"/>
  <c r="F1066" i="2"/>
  <c r="H1066" i="2"/>
  <c r="J1066" i="2"/>
  <c r="D1066" i="2"/>
  <c r="I1066" i="2"/>
  <c r="E1066" i="2"/>
  <c r="K1066" i="2"/>
  <c r="G1065" i="2"/>
  <c r="F1065" i="2"/>
  <c r="E1065" i="2"/>
  <c r="D1065" i="2"/>
  <c r="K1065" i="2"/>
  <c r="H1065" i="2"/>
  <c r="I1065" i="2"/>
  <c r="J1065" i="2"/>
  <c r="I1064" i="2"/>
  <c r="F1064" i="2"/>
  <c r="J1064" i="2"/>
  <c r="K1064" i="2"/>
  <c r="D1064" i="2"/>
  <c r="E1064" i="2"/>
  <c r="G1064" i="2"/>
  <c r="H1064" i="2"/>
  <c r="F1063" i="2"/>
  <c r="K1063" i="2"/>
  <c r="G1063" i="2"/>
  <c r="J1063" i="2"/>
  <c r="I1063" i="2"/>
  <c r="D1063" i="2"/>
  <c r="H1063" i="2"/>
  <c r="E1063" i="2"/>
  <c r="I1062" i="2"/>
  <c r="D1062" i="2"/>
  <c r="F1062" i="2"/>
  <c r="G1062" i="2"/>
  <c r="E1062" i="2"/>
  <c r="H1062" i="2"/>
  <c r="J1062" i="2"/>
  <c r="K1062" i="2"/>
  <c r="D1061" i="2"/>
  <c r="H1061" i="2"/>
  <c r="K1061" i="2"/>
  <c r="J1061" i="2"/>
  <c r="I1061" i="2"/>
  <c r="G1061" i="2"/>
  <c r="F1061" i="2"/>
  <c r="E1061" i="2"/>
  <c r="F1060" i="2"/>
  <c r="H1060" i="2"/>
  <c r="I1060" i="2"/>
  <c r="E1060" i="2"/>
  <c r="G1060" i="2"/>
  <c r="D1060" i="2"/>
  <c r="J1060" i="2"/>
  <c r="K1060" i="2"/>
  <c r="K1059" i="2"/>
  <c r="J1059" i="2"/>
  <c r="H1059" i="2"/>
  <c r="I1059" i="2"/>
  <c r="E1059" i="2"/>
  <c r="F1059" i="2"/>
  <c r="D1059" i="2"/>
  <c r="G1059" i="2"/>
  <c r="G1058" i="2"/>
  <c r="H1058" i="2"/>
  <c r="I1058" i="2"/>
  <c r="K1058" i="2"/>
  <c r="J1058" i="2"/>
  <c r="D1058" i="2"/>
  <c r="E1058" i="2"/>
  <c r="F1058" i="2"/>
  <c r="G1057" i="2"/>
  <c r="K1057" i="2"/>
  <c r="J1057" i="2"/>
  <c r="H1057" i="2"/>
  <c r="E1057" i="2"/>
  <c r="D1057" i="2"/>
  <c r="F1057" i="2"/>
  <c r="I1057" i="2"/>
  <c r="D1056" i="2"/>
  <c r="J1056" i="2"/>
  <c r="H1056" i="2"/>
  <c r="F1056" i="2"/>
  <c r="E1056" i="2"/>
  <c r="G1056" i="2"/>
  <c r="I1056" i="2"/>
  <c r="K1056" i="2"/>
  <c r="H1055" i="2"/>
  <c r="F1055" i="2"/>
  <c r="K1055" i="2"/>
  <c r="I1055" i="2"/>
  <c r="J1055" i="2"/>
  <c r="D1055" i="2"/>
  <c r="G1055" i="2"/>
  <c r="E1055" i="2"/>
  <c r="H1054" i="2"/>
  <c r="F1054" i="2"/>
  <c r="D1054" i="2"/>
  <c r="E1054" i="2"/>
  <c r="K1054" i="2"/>
  <c r="G1054" i="2"/>
  <c r="I1054" i="2"/>
  <c r="J1054" i="2"/>
  <c r="H1053" i="2"/>
  <c r="E1053" i="2"/>
  <c r="K1053" i="2"/>
  <c r="D1053" i="2"/>
  <c r="J1053" i="2"/>
  <c r="G1053" i="2"/>
  <c r="I1053" i="2"/>
  <c r="F1053" i="2"/>
  <c r="I1052" i="2"/>
  <c r="D1052" i="2"/>
  <c r="E1052" i="2"/>
  <c r="F1052" i="2"/>
  <c r="J1052" i="2"/>
  <c r="K1052" i="2"/>
  <c r="G1052" i="2"/>
  <c r="H1052" i="2"/>
  <c r="J1051" i="2"/>
  <c r="I1051" i="2"/>
  <c r="E1051" i="2"/>
  <c r="F1051" i="2"/>
  <c r="K1051" i="2"/>
  <c r="H1051" i="2"/>
  <c r="G1051" i="2"/>
  <c r="D1051" i="2"/>
  <c r="F1050" i="2"/>
  <c r="H1050" i="2"/>
  <c r="I1050" i="2"/>
  <c r="J1050" i="2"/>
  <c r="K1050" i="2"/>
  <c r="D1050" i="2"/>
  <c r="E1050" i="2"/>
  <c r="G1050" i="2"/>
  <c r="F1049" i="2"/>
  <c r="I1049" i="2"/>
  <c r="J1049" i="2"/>
  <c r="E1049" i="2"/>
  <c r="K1049" i="2"/>
  <c r="H1049" i="2"/>
  <c r="G1049" i="2"/>
  <c r="D1049" i="2"/>
  <c r="D1048" i="2"/>
  <c r="E1048" i="2"/>
  <c r="F1048" i="2"/>
  <c r="G1048" i="2"/>
  <c r="H1048" i="2"/>
  <c r="I1048" i="2"/>
  <c r="J1048" i="2"/>
  <c r="K1048" i="2"/>
  <c r="H1047" i="2"/>
  <c r="G1047" i="2"/>
  <c r="J1047" i="2"/>
  <c r="F1047" i="2"/>
  <c r="I1047" i="2"/>
  <c r="K1047" i="2"/>
  <c r="D1047" i="2"/>
  <c r="E1047" i="2"/>
  <c r="H1046" i="2"/>
  <c r="K1046" i="2"/>
  <c r="D1046" i="2"/>
  <c r="E1046" i="2"/>
  <c r="G1046" i="2"/>
  <c r="I1046" i="2"/>
  <c r="J1046" i="2"/>
  <c r="F1046" i="2"/>
  <c r="K1045" i="2"/>
  <c r="H1045" i="2"/>
  <c r="D1045" i="2"/>
  <c r="I1045" i="2"/>
  <c r="G1045" i="2"/>
  <c r="E1045" i="2"/>
  <c r="J1045" i="2"/>
  <c r="F1045" i="2"/>
  <c r="F1044" i="2"/>
  <c r="K1044" i="2"/>
  <c r="J1044" i="2"/>
  <c r="I1044" i="2"/>
  <c r="H1044" i="2"/>
  <c r="G1044" i="2"/>
  <c r="E1044" i="2"/>
  <c r="D1044" i="2"/>
  <c r="H1043" i="2"/>
  <c r="J1043" i="2"/>
  <c r="I1043" i="2"/>
  <c r="K1043" i="2"/>
  <c r="E1043" i="2"/>
  <c r="D1043" i="2"/>
  <c r="G1043" i="2"/>
  <c r="F1043" i="2"/>
  <c r="F1042" i="2"/>
  <c r="K1042" i="2"/>
  <c r="E1042" i="2"/>
  <c r="H1042" i="2"/>
  <c r="I1042" i="2"/>
  <c r="J1042" i="2"/>
  <c r="D1042" i="2"/>
  <c r="G1042" i="2"/>
  <c r="I1041" i="2"/>
  <c r="D1041" i="2"/>
  <c r="E1041" i="2"/>
  <c r="K1041" i="2"/>
  <c r="J1041" i="2"/>
  <c r="G1041" i="2"/>
  <c r="F1041" i="2"/>
  <c r="H1041" i="2"/>
  <c r="J1040" i="2"/>
  <c r="G1040" i="2"/>
  <c r="I1040" i="2"/>
  <c r="K1040" i="2"/>
  <c r="E1040" i="2"/>
  <c r="D1040" i="2"/>
  <c r="F1040" i="2"/>
  <c r="H1040" i="2"/>
  <c r="D1039" i="2"/>
  <c r="E1039" i="2"/>
  <c r="F1039" i="2"/>
  <c r="I1039" i="2"/>
  <c r="K1039" i="2"/>
  <c r="J1039" i="2"/>
  <c r="H1039" i="2"/>
  <c r="G1039" i="2"/>
  <c r="K1038" i="2"/>
  <c r="I1038" i="2"/>
  <c r="H1038" i="2"/>
  <c r="D1038" i="2"/>
  <c r="E1038" i="2"/>
  <c r="J1038" i="2"/>
  <c r="F1038" i="2"/>
  <c r="G1038" i="2"/>
  <c r="K1037" i="2"/>
  <c r="I1037" i="2"/>
  <c r="E1037" i="2"/>
  <c r="D1037" i="2"/>
  <c r="J1037" i="2"/>
  <c r="F1037" i="2"/>
  <c r="G1037" i="2"/>
  <c r="H1037" i="2"/>
  <c r="D1036" i="2"/>
  <c r="I1036" i="2"/>
  <c r="K1036" i="2"/>
  <c r="H1036" i="2"/>
  <c r="E1036" i="2"/>
  <c r="G1036" i="2"/>
  <c r="J1036" i="2"/>
  <c r="F1036" i="2"/>
  <c r="G1035" i="2"/>
  <c r="K1035" i="2"/>
  <c r="E1035" i="2"/>
  <c r="D1035" i="2"/>
  <c r="H1035" i="2"/>
  <c r="I1035" i="2"/>
  <c r="J1035" i="2"/>
  <c r="F1035" i="2"/>
  <c r="K1034" i="2"/>
  <c r="H1034" i="2"/>
  <c r="F1034" i="2"/>
  <c r="E1034" i="2"/>
  <c r="D1034" i="2"/>
  <c r="G1034" i="2"/>
  <c r="J1034" i="2"/>
  <c r="I1034" i="2"/>
  <c r="K1033" i="2"/>
  <c r="G1033" i="2"/>
  <c r="D1033" i="2"/>
  <c r="F1033" i="2"/>
  <c r="E1033" i="2"/>
  <c r="H1033" i="2"/>
  <c r="I1033" i="2"/>
  <c r="J1033" i="2"/>
  <c r="E1032" i="2"/>
  <c r="I1032" i="2"/>
  <c r="H1032" i="2"/>
  <c r="K1032" i="2"/>
  <c r="D1032" i="2"/>
  <c r="J1032" i="2"/>
  <c r="G1032" i="2"/>
  <c r="F1032" i="2"/>
  <c r="E1031" i="2"/>
  <c r="J1031" i="2"/>
  <c r="F1031" i="2"/>
  <c r="G1031" i="2"/>
  <c r="H1031" i="2"/>
  <c r="I1031" i="2"/>
  <c r="K1031" i="2"/>
  <c r="D1031" i="2"/>
  <c r="K1030" i="2"/>
  <c r="I1030" i="2"/>
  <c r="J1030" i="2"/>
  <c r="F1030" i="2"/>
  <c r="E1030" i="2"/>
  <c r="D1030" i="2"/>
  <c r="G1030" i="2"/>
  <c r="H1030" i="2"/>
  <c r="D1029" i="2"/>
  <c r="J1029" i="2"/>
  <c r="I1029" i="2"/>
  <c r="K1029" i="2"/>
  <c r="F1029" i="2"/>
  <c r="E1029" i="2"/>
  <c r="H1029" i="2"/>
  <c r="G1029" i="2"/>
  <c r="E1028" i="2"/>
  <c r="I1028" i="2"/>
  <c r="G1028" i="2"/>
  <c r="D1028" i="2"/>
  <c r="K1028" i="2"/>
  <c r="J1028" i="2"/>
  <c r="F1028" i="2"/>
  <c r="H1028" i="2"/>
  <c r="G1027" i="2"/>
  <c r="K1027" i="2"/>
  <c r="J1027" i="2"/>
  <c r="D1027" i="2"/>
  <c r="F1027" i="2"/>
  <c r="E1027" i="2"/>
  <c r="I1027" i="2"/>
  <c r="H1027" i="2"/>
  <c r="E1026" i="2"/>
  <c r="D1026" i="2"/>
  <c r="K1026" i="2"/>
  <c r="J1026" i="2"/>
  <c r="F1026" i="2"/>
  <c r="I1026" i="2"/>
  <c r="H1026" i="2"/>
  <c r="G1026" i="2"/>
  <c r="D1025" i="2"/>
  <c r="E1025" i="2"/>
  <c r="F1025" i="2"/>
  <c r="G1025" i="2"/>
  <c r="H1025" i="2"/>
  <c r="I1025" i="2"/>
  <c r="J1025" i="2"/>
  <c r="K1025" i="2"/>
  <c r="J1024" i="2"/>
  <c r="H1024" i="2"/>
  <c r="G1024" i="2"/>
  <c r="E1024" i="2"/>
  <c r="K1024" i="2"/>
  <c r="I1024" i="2"/>
  <c r="F1024" i="2"/>
  <c r="D1024" i="2"/>
  <c r="H1023" i="2"/>
  <c r="D1023" i="2"/>
  <c r="G1023" i="2"/>
  <c r="F1023" i="2"/>
  <c r="K1023" i="2"/>
  <c r="J1023" i="2"/>
  <c r="I1023" i="2"/>
  <c r="E1023" i="2"/>
  <c r="G1022" i="2"/>
  <c r="K1022" i="2"/>
  <c r="F1022" i="2"/>
  <c r="J1022" i="2"/>
  <c r="H1022" i="2"/>
  <c r="I1022" i="2"/>
  <c r="D1022" i="2"/>
  <c r="E1022" i="2"/>
  <c r="D1021" i="2"/>
  <c r="E1021" i="2"/>
  <c r="J1021" i="2"/>
  <c r="F1021" i="2"/>
  <c r="G1021" i="2"/>
  <c r="H1021" i="2"/>
  <c r="K1021" i="2"/>
  <c r="I1021" i="2"/>
  <c r="D1020" i="2"/>
  <c r="F1020" i="2"/>
  <c r="E1020" i="2"/>
  <c r="K1020" i="2"/>
  <c r="G1020" i="2"/>
  <c r="H1020" i="2"/>
  <c r="I1020" i="2"/>
  <c r="J1020" i="2"/>
  <c r="G1019" i="2"/>
  <c r="I1019" i="2"/>
  <c r="H1019" i="2"/>
  <c r="E1019" i="2"/>
  <c r="J1019" i="2"/>
  <c r="D1019" i="2"/>
  <c r="F1019" i="2"/>
  <c r="K1019" i="2"/>
  <c r="G1018" i="2"/>
  <c r="E1018" i="2"/>
  <c r="F1018" i="2"/>
  <c r="H1018" i="2"/>
  <c r="I1018" i="2"/>
  <c r="J1018" i="2"/>
  <c r="K1018" i="2"/>
  <c r="D1018" i="2"/>
  <c r="F1017" i="2"/>
  <c r="I1017" i="2"/>
  <c r="D1017" i="2"/>
  <c r="G1017" i="2"/>
  <c r="H1017" i="2"/>
  <c r="K1017" i="2"/>
  <c r="E1017" i="2"/>
  <c r="J1017" i="2"/>
  <c r="I1016" i="2"/>
  <c r="J1016" i="2"/>
  <c r="E1016" i="2"/>
  <c r="F1016" i="2"/>
  <c r="H1016" i="2"/>
  <c r="D1016" i="2"/>
  <c r="G1016" i="2"/>
  <c r="K1016" i="2"/>
  <c r="J1015" i="2"/>
  <c r="H1015" i="2"/>
  <c r="K1015" i="2"/>
  <c r="F1015" i="2"/>
  <c r="E1015" i="2"/>
  <c r="D1015" i="2"/>
  <c r="G1015" i="2"/>
  <c r="I1015" i="2"/>
  <c r="D1014" i="2"/>
  <c r="J1014" i="2"/>
  <c r="I1014" i="2"/>
  <c r="H1014" i="2"/>
  <c r="K1014" i="2"/>
  <c r="E1014" i="2"/>
  <c r="G1014" i="2"/>
  <c r="F1014" i="2"/>
  <c r="I1013" i="2"/>
  <c r="K1013" i="2"/>
  <c r="D1013" i="2"/>
  <c r="E1013" i="2"/>
  <c r="H1013" i="2"/>
  <c r="G1013" i="2"/>
  <c r="F1013" i="2"/>
  <c r="J1013" i="2"/>
  <c r="D1012" i="2"/>
  <c r="I1012" i="2"/>
  <c r="E1012" i="2"/>
  <c r="G1012" i="2"/>
  <c r="H1012" i="2"/>
  <c r="J1012" i="2"/>
  <c r="F1012" i="2"/>
  <c r="K1012" i="2"/>
  <c r="F1011" i="2"/>
  <c r="D1011" i="2"/>
  <c r="E1011" i="2"/>
  <c r="G1011" i="2"/>
  <c r="H1011" i="2"/>
  <c r="I1011" i="2"/>
  <c r="J1011" i="2"/>
  <c r="K1011" i="2"/>
  <c r="H1010" i="2"/>
  <c r="I1010" i="2"/>
  <c r="J1010" i="2"/>
  <c r="G1010" i="2"/>
  <c r="E1010" i="2"/>
  <c r="D1010" i="2"/>
  <c r="F1010" i="2"/>
  <c r="K1010" i="2"/>
  <c r="J1009" i="2"/>
  <c r="E1009" i="2"/>
  <c r="I1009" i="2"/>
  <c r="D1009" i="2"/>
  <c r="F1009" i="2"/>
  <c r="H1009" i="2"/>
  <c r="K1009" i="2"/>
  <c r="G1009" i="2"/>
  <c r="K1008" i="2"/>
  <c r="D1008" i="2"/>
  <c r="F1008" i="2"/>
  <c r="G1008" i="2"/>
  <c r="H1008" i="2"/>
  <c r="I1008" i="2"/>
  <c r="J1008" i="2"/>
  <c r="E1008" i="2"/>
  <c r="H1007" i="2"/>
  <c r="E1007" i="2"/>
  <c r="F1007" i="2"/>
  <c r="G1007" i="2"/>
  <c r="I1007" i="2"/>
  <c r="J1007" i="2"/>
  <c r="D1007" i="2"/>
  <c r="K1007" i="2"/>
  <c r="D1006" i="2"/>
  <c r="E1006" i="2"/>
  <c r="H1006" i="2"/>
  <c r="K1006" i="2"/>
  <c r="J1006" i="2"/>
  <c r="I1006" i="2"/>
  <c r="G1006" i="2"/>
  <c r="F1006" i="2"/>
  <c r="D1005" i="2"/>
  <c r="K1005" i="2"/>
  <c r="J1005" i="2"/>
  <c r="I1005" i="2"/>
  <c r="H1005" i="2"/>
  <c r="G1005" i="2"/>
  <c r="F1005" i="2"/>
  <c r="E1005" i="2"/>
  <c r="K1004" i="2"/>
  <c r="H1004" i="2"/>
  <c r="E1004" i="2"/>
  <c r="J1004" i="2"/>
  <c r="I1004" i="2"/>
  <c r="D1004" i="2"/>
  <c r="F1004" i="2"/>
  <c r="G1004" i="2"/>
  <c r="I1003" i="2"/>
  <c r="J1003" i="2"/>
  <c r="H1003" i="2"/>
  <c r="K1003" i="2"/>
  <c r="G1003" i="2"/>
  <c r="E1003" i="2"/>
  <c r="D1003" i="2"/>
  <c r="F1003" i="2"/>
  <c r="D1002" i="2"/>
  <c r="E1002" i="2"/>
  <c r="H1002" i="2"/>
  <c r="F1002" i="2"/>
  <c r="G1002" i="2"/>
  <c r="I1002" i="2"/>
  <c r="J1002" i="2"/>
  <c r="K1002" i="2"/>
  <c r="K1001" i="2"/>
  <c r="I1001" i="2"/>
  <c r="J1001" i="2"/>
  <c r="G1001" i="2"/>
  <c r="E1001" i="2"/>
  <c r="D1001" i="2"/>
  <c r="H1001" i="2"/>
  <c r="F1001" i="2"/>
  <c r="D1000" i="2"/>
  <c r="K1000" i="2"/>
  <c r="J1000" i="2"/>
  <c r="F1000" i="2"/>
  <c r="G1000" i="2"/>
  <c r="E1000" i="2"/>
  <c r="I1000" i="2"/>
  <c r="H1000" i="2"/>
  <c r="D999" i="2"/>
  <c r="H999" i="2"/>
  <c r="I999" i="2"/>
  <c r="J999" i="2"/>
  <c r="E999" i="2"/>
  <c r="G999" i="2"/>
  <c r="F999" i="2"/>
  <c r="K999" i="2"/>
  <c r="D998" i="2"/>
  <c r="H998" i="2"/>
  <c r="I998" i="2"/>
  <c r="J998" i="2"/>
  <c r="K998" i="2"/>
  <c r="E998" i="2"/>
  <c r="F998" i="2"/>
  <c r="G998" i="2"/>
  <c r="H997" i="2"/>
  <c r="G997" i="2"/>
  <c r="K997" i="2"/>
  <c r="J997" i="2"/>
  <c r="I997" i="2"/>
  <c r="D997" i="2"/>
  <c r="E997" i="2"/>
  <c r="F997" i="2"/>
  <c r="F996" i="2"/>
  <c r="D996" i="2"/>
  <c r="E996" i="2"/>
  <c r="G996" i="2"/>
  <c r="K996" i="2"/>
  <c r="J996" i="2"/>
  <c r="I996" i="2"/>
  <c r="H996" i="2"/>
  <c r="D995" i="2"/>
  <c r="E995" i="2"/>
  <c r="J995" i="2"/>
  <c r="G995" i="2"/>
  <c r="I995" i="2"/>
  <c r="H995" i="2"/>
  <c r="K995" i="2"/>
  <c r="F995" i="2"/>
  <c r="K994" i="2"/>
  <c r="E994" i="2"/>
  <c r="J994" i="2"/>
  <c r="F994" i="2"/>
  <c r="I994" i="2"/>
  <c r="G994" i="2"/>
  <c r="D994" i="2"/>
  <c r="H994" i="2"/>
  <c r="H993" i="2"/>
  <c r="I993" i="2"/>
  <c r="J993" i="2"/>
  <c r="G993" i="2"/>
  <c r="D993" i="2"/>
  <c r="E993" i="2"/>
  <c r="F993" i="2"/>
  <c r="K993" i="2"/>
  <c r="F992" i="2"/>
  <c r="E992" i="2"/>
  <c r="D992" i="2"/>
  <c r="H992" i="2"/>
  <c r="K992" i="2"/>
  <c r="J992" i="2"/>
  <c r="I992" i="2"/>
  <c r="G992" i="2"/>
  <c r="E991" i="2"/>
  <c r="J991" i="2"/>
  <c r="F991" i="2"/>
  <c r="K991" i="2"/>
  <c r="H991" i="2"/>
  <c r="I991" i="2"/>
  <c r="G991" i="2"/>
  <c r="D991" i="2"/>
  <c r="D990" i="2"/>
  <c r="K990" i="2"/>
  <c r="F990" i="2"/>
  <c r="G990" i="2"/>
  <c r="H990" i="2"/>
  <c r="E990" i="2"/>
  <c r="I990" i="2"/>
  <c r="J990" i="2"/>
  <c r="H989" i="2"/>
  <c r="I989" i="2"/>
  <c r="F989" i="2"/>
  <c r="E989" i="2"/>
  <c r="K989" i="2"/>
  <c r="G989" i="2"/>
  <c r="D989" i="2"/>
  <c r="J989" i="2"/>
  <c r="K988" i="2"/>
  <c r="G988" i="2"/>
  <c r="F988" i="2"/>
  <c r="D988" i="2"/>
  <c r="E988" i="2"/>
  <c r="J988" i="2"/>
  <c r="H988" i="2"/>
  <c r="I988" i="2"/>
  <c r="D987" i="2"/>
  <c r="K987" i="2"/>
  <c r="J987" i="2"/>
  <c r="I987" i="2"/>
  <c r="G987" i="2"/>
  <c r="F987" i="2"/>
  <c r="E987" i="2"/>
  <c r="H987" i="2"/>
  <c r="H986" i="2"/>
  <c r="K986" i="2"/>
  <c r="G986" i="2"/>
  <c r="E986" i="2"/>
  <c r="F986" i="2"/>
  <c r="D986" i="2"/>
  <c r="J986" i="2"/>
  <c r="I986" i="2"/>
  <c r="F985" i="2"/>
  <c r="D985" i="2"/>
  <c r="E985" i="2"/>
  <c r="K985" i="2"/>
  <c r="J985" i="2"/>
  <c r="I985" i="2"/>
  <c r="H985" i="2"/>
  <c r="G985" i="2"/>
  <c r="K984" i="2"/>
  <c r="J984" i="2"/>
  <c r="D984" i="2"/>
  <c r="E984" i="2"/>
  <c r="F984" i="2"/>
  <c r="G984" i="2"/>
  <c r="H984" i="2"/>
  <c r="I984" i="2"/>
  <c r="D983" i="2"/>
  <c r="G983" i="2"/>
  <c r="F983" i="2"/>
  <c r="J983" i="2"/>
  <c r="I983" i="2"/>
  <c r="E983" i="2"/>
  <c r="K983" i="2"/>
  <c r="H983" i="2"/>
  <c r="D982" i="2"/>
  <c r="E982" i="2"/>
  <c r="F982" i="2"/>
  <c r="G982" i="2"/>
  <c r="H982" i="2"/>
  <c r="I982" i="2"/>
  <c r="J982" i="2"/>
  <c r="K982" i="2"/>
  <c r="J981" i="2"/>
  <c r="K981" i="2"/>
  <c r="D981" i="2"/>
  <c r="I981" i="2"/>
  <c r="G981" i="2"/>
  <c r="H981" i="2"/>
  <c r="E981" i="2"/>
  <c r="F981" i="2"/>
  <c r="I980" i="2"/>
  <c r="F980" i="2"/>
  <c r="D980" i="2"/>
  <c r="K980" i="2"/>
  <c r="G980" i="2"/>
  <c r="H980" i="2"/>
  <c r="J980" i="2"/>
  <c r="E980" i="2"/>
  <c r="G979" i="2"/>
  <c r="F979" i="2"/>
  <c r="E979" i="2"/>
  <c r="D979" i="2"/>
  <c r="I979" i="2"/>
  <c r="K979" i="2"/>
  <c r="J979" i="2"/>
  <c r="H979" i="2"/>
  <c r="E978" i="2"/>
  <c r="D978" i="2"/>
  <c r="G978" i="2"/>
  <c r="J978" i="2"/>
  <c r="K978" i="2"/>
  <c r="H978" i="2"/>
  <c r="I978" i="2"/>
  <c r="F978" i="2"/>
  <c r="E977" i="2"/>
  <c r="J977" i="2"/>
  <c r="D977" i="2"/>
  <c r="F977" i="2"/>
  <c r="G977" i="2"/>
  <c r="H977" i="2"/>
  <c r="I977" i="2"/>
  <c r="K977" i="2"/>
  <c r="E976" i="2"/>
  <c r="I976" i="2"/>
  <c r="H976" i="2"/>
  <c r="D976" i="2"/>
  <c r="J976" i="2"/>
  <c r="K976" i="2"/>
  <c r="G976" i="2"/>
  <c r="F976" i="2"/>
  <c r="I975" i="2"/>
  <c r="H975" i="2"/>
  <c r="G975" i="2"/>
  <c r="D975" i="2"/>
  <c r="F975" i="2"/>
  <c r="J975" i="2"/>
  <c r="E975" i="2"/>
  <c r="K975" i="2"/>
  <c r="I974" i="2"/>
  <c r="J974" i="2"/>
  <c r="E974" i="2"/>
  <c r="G974" i="2"/>
  <c r="H974" i="2"/>
  <c r="K974" i="2"/>
  <c r="F974" i="2"/>
  <c r="D974" i="2"/>
  <c r="H973" i="2"/>
  <c r="G973" i="2"/>
  <c r="K973" i="2"/>
  <c r="E973" i="2"/>
  <c r="I973" i="2"/>
  <c r="F973" i="2"/>
  <c r="D973" i="2"/>
  <c r="J973" i="2"/>
  <c r="D972" i="2"/>
  <c r="E972" i="2"/>
  <c r="H972" i="2"/>
  <c r="K972" i="2"/>
  <c r="J972" i="2"/>
  <c r="I972" i="2"/>
  <c r="F972" i="2"/>
  <c r="G972" i="2"/>
  <c r="K971" i="2"/>
  <c r="H971" i="2"/>
  <c r="J971" i="2"/>
  <c r="E971" i="2"/>
  <c r="I971" i="2"/>
  <c r="D971" i="2"/>
  <c r="F971" i="2"/>
  <c r="G971" i="2"/>
  <c r="K969" i="2"/>
  <c r="J969" i="2"/>
  <c r="I969" i="2"/>
  <c r="H969" i="2"/>
  <c r="F969" i="2"/>
  <c r="G969" i="2"/>
  <c r="E969" i="2"/>
  <c r="D969" i="2"/>
  <c r="G968" i="2"/>
  <c r="E968" i="2"/>
  <c r="F968" i="2"/>
  <c r="K968" i="2"/>
  <c r="J968" i="2"/>
  <c r="I968" i="2"/>
  <c r="H968" i="2"/>
  <c r="D968" i="2"/>
  <c r="G967" i="2"/>
  <c r="K967" i="2"/>
  <c r="J967" i="2"/>
  <c r="I967" i="2"/>
  <c r="H967" i="2"/>
  <c r="F967" i="2"/>
  <c r="E967" i="2"/>
  <c r="D967" i="2"/>
  <c r="E966" i="2"/>
  <c r="J966" i="2"/>
  <c r="I966" i="2"/>
  <c r="G966" i="2"/>
  <c r="H966" i="2"/>
  <c r="D966" i="2"/>
  <c r="F966" i="2"/>
  <c r="K966" i="2"/>
  <c r="J965" i="2"/>
  <c r="F965" i="2"/>
  <c r="H965" i="2"/>
  <c r="I965" i="2"/>
  <c r="D965" i="2"/>
  <c r="K965" i="2"/>
  <c r="G965" i="2"/>
  <c r="E965" i="2"/>
  <c r="I964" i="2"/>
  <c r="K964" i="2"/>
  <c r="D964" i="2"/>
  <c r="H964" i="2"/>
  <c r="G964" i="2"/>
  <c r="E964" i="2"/>
  <c r="J964" i="2"/>
  <c r="F964" i="2"/>
  <c r="I961" i="2"/>
  <c r="J961" i="2"/>
  <c r="K961" i="2"/>
  <c r="H961" i="2"/>
  <c r="G961" i="2"/>
  <c r="E961" i="2"/>
  <c r="D961" i="2"/>
  <c r="F961" i="2"/>
  <c r="D960" i="2"/>
  <c r="K960" i="2"/>
  <c r="J960" i="2"/>
  <c r="H960" i="2"/>
  <c r="G960" i="2"/>
  <c r="F960" i="2"/>
  <c r="E960" i="2"/>
  <c r="I960" i="2"/>
  <c r="G959" i="2"/>
  <c r="F959" i="2"/>
  <c r="H959" i="2"/>
  <c r="K959" i="2"/>
  <c r="D959" i="2"/>
  <c r="J959" i="2"/>
  <c r="I959" i="2"/>
  <c r="E959" i="2"/>
  <c r="E958" i="2"/>
  <c r="F958" i="2"/>
  <c r="G958" i="2"/>
  <c r="H958" i="2"/>
  <c r="I958" i="2"/>
  <c r="J958" i="2"/>
  <c r="K958" i="2"/>
  <c r="D958" i="2"/>
  <c r="D957" i="2"/>
  <c r="E957" i="2"/>
  <c r="I957" i="2"/>
  <c r="F957" i="2"/>
  <c r="G957" i="2"/>
  <c r="H957" i="2"/>
  <c r="J957" i="2"/>
  <c r="K957" i="2"/>
  <c r="K956" i="2"/>
  <c r="F956" i="2"/>
  <c r="E956" i="2"/>
  <c r="D956" i="2"/>
  <c r="G956" i="2"/>
  <c r="H956" i="2"/>
  <c r="I956" i="2"/>
  <c r="J956" i="2"/>
  <c r="I955" i="2"/>
  <c r="G955" i="2"/>
  <c r="F955" i="2"/>
  <c r="E955" i="2"/>
  <c r="D955" i="2"/>
  <c r="H955" i="2"/>
  <c r="K955" i="2"/>
  <c r="J955" i="2"/>
  <c r="H954" i="2"/>
  <c r="E954" i="2"/>
  <c r="G954" i="2"/>
  <c r="J954" i="2"/>
  <c r="D954" i="2"/>
  <c r="K954" i="2"/>
  <c r="I954" i="2"/>
  <c r="F954" i="2"/>
  <c r="E953" i="2"/>
  <c r="F953" i="2"/>
  <c r="I953" i="2"/>
  <c r="G953" i="2"/>
  <c r="H953" i="2"/>
  <c r="J953" i="2"/>
  <c r="K953" i="2"/>
  <c r="D953" i="2"/>
  <c r="E952" i="2"/>
  <c r="D952" i="2"/>
  <c r="J952" i="2"/>
  <c r="K952" i="2"/>
  <c r="H952" i="2"/>
  <c r="F952" i="2"/>
  <c r="I952" i="2"/>
  <c r="G952" i="2"/>
  <c r="I951" i="2"/>
  <c r="E951" i="2"/>
  <c r="G951" i="2"/>
  <c r="K951" i="2"/>
  <c r="D951" i="2"/>
  <c r="J951" i="2"/>
  <c r="F951" i="2"/>
  <c r="H951" i="2"/>
  <c r="K950" i="2"/>
  <c r="G950" i="2"/>
  <c r="I950" i="2"/>
  <c r="J950" i="2"/>
  <c r="H950" i="2"/>
  <c r="D950" i="2"/>
  <c r="F950" i="2"/>
  <c r="E950" i="2"/>
  <c r="F949" i="2"/>
  <c r="H949" i="2"/>
  <c r="K949" i="2"/>
  <c r="E949" i="2"/>
  <c r="J949" i="2"/>
  <c r="I949" i="2"/>
  <c r="G949" i="2"/>
  <c r="D949" i="2"/>
  <c r="E948" i="2"/>
  <c r="K948" i="2"/>
  <c r="D948" i="2"/>
  <c r="F948" i="2"/>
  <c r="G948" i="2"/>
  <c r="H948" i="2"/>
  <c r="I948" i="2"/>
  <c r="J948" i="2"/>
  <c r="I947" i="2"/>
  <c r="J947" i="2"/>
  <c r="K947" i="2"/>
  <c r="F947" i="2"/>
  <c r="E947" i="2"/>
  <c r="D947" i="2"/>
  <c r="H947" i="2"/>
  <c r="G947" i="2"/>
  <c r="J946" i="2"/>
  <c r="H946" i="2"/>
  <c r="F946" i="2"/>
  <c r="D946" i="2"/>
  <c r="K946" i="2"/>
  <c r="I946" i="2"/>
  <c r="G946" i="2"/>
  <c r="E946" i="2"/>
  <c r="J927" i="2"/>
  <c r="H927" i="2"/>
  <c r="E927" i="2"/>
  <c r="K927" i="2"/>
  <c r="I927" i="2"/>
  <c r="G927" i="2"/>
  <c r="F927" i="2"/>
  <c r="D927" i="2"/>
  <c r="K924" i="2"/>
  <c r="I924" i="2"/>
  <c r="J924" i="2"/>
  <c r="H924" i="2"/>
  <c r="F924" i="2"/>
  <c r="G924" i="2"/>
  <c r="E924" i="2"/>
  <c r="D924" i="2"/>
  <c r="K900" i="2"/>
  <c r="J900" i="2"/>
  <c r="I900" i="2"/>
  <c r="H900" i="2"/>
  <c r="G900" i="2"/>
  <c r="F900" i="2"/>
  <c r="E900" i="2"/>
  <c r="D900" i="2"/>
  <c r="H871" i="2"/>
  <c r="I871" i="2"/>
  <c r="K871" i="2"/>
  <c r="G871" i="2"/>
  <c r="F871" i="2"/>
  <c r="J871" i="2"/>
  <c r="D871" i="2"/>
  <c r="E871" i="2"/>
  <c r="K858" i="2"/>
  <c r="H858" i="2"/>
  <c r="I858" i="2"/>
  <c r="J858" i="2"/>
  <c r="D858" i="2"/>
  <c r="F858" i="2"/>
  <c r="G858" i="2"/>
  <c r="E858" i="2"/>
  <c r="J834" i="2"/>
  <c r="H834" i="2"/>
  <c r="I834" i="2"/>
  <c r="D834" i="2"/>
  <c r="E834" i="2"/>
  <c r="F834" i="2"/>
  <c r="G834" i="2"/>
  <c r="K834" i="2"/>
  <c r="K787" i="2"/>
  <c r="G787" i="2"/>
  <c r="H787" i="2"/>
  <c r="I787" i="2"/>
  <c r="J787" i="2"/>
  <c r="D787" i="2"/>
  <c r="E787" i="2"/>
  <c r="F787" i="2"/>
  <c r="D780" i="2"/>
  <c r="K780" i="2"/>
  <c r="J780" i="2"/>
  <c r="H780" i="2"/>
  <c r="G780" i="2"/>
  <c r="F780" i="2"/>
  <c r="E780" i="2"/>
  <c r="I780" i="2"/>
  <c r="J749" i="2"/>
  <c r="G749" i="2"/>
  <c r="D749" i="2"/>
  <c r="H749" i="2"/>
  <c r="E749" i="2"/>
  <c r="I749" i="2"/>
  <c r="F749" i="2"/>
  <c r="D742" i="2"/>
  <c r="E742" i="2"/>
  <c r="F742" i="2"/>
  <c r="G742" i="2"/>
  <c r="H742" i="2"/>
  <c r="I742" i="2"/>
  <c r="J742" i="2"/>
  <c r="K742" i="2"/>
  <c r="I708" i="2"/>
  <c r="E708" i="2"/>
  <c r="J708" i="2"/>
  <c r="F708" i="2"/>
  <c r="H708" i="2"/>
  <c r="G708" i="2"/>
  <c r="K708" i="2"/>
  <c r="D708" i="2"/>
  <c r="G698" i="2"/>
  <c r="H698" i="2"/>
  <c r="I698" i="2"/>
  <c r="K698" i="2"/>
  <c r="J698" i="2"/>
  <c r="E698" i="2"/>
  <c r="F698" i="2"/>
  <c r="D698" i="2"/>
  <c r="E683" i="2"/>
  <c r="D683" i="2"/>
  <c r="F683" i="2"/>
  <c r="G683" i="2"/>
  <c r="H683" i="2"/>
  <c r="I683" i="2"/>
  <c r="J683" i="2"/>
  <c r="K683" i="2"/>
  <c r="E670" i="2"/>
  <c r="F670" i="2"/>
  <c r="D670" i="2"/>
  <c r="K670" i="2"/>
  <c r="J670" i="2"/>
  <c r="I670" i="2"/>
  <c r="G670" i="2"/>
  <c r="H670" i="2"/>
  <c r="I651" i="2"/>
  <c r="J651" i="2"/>
  <c r="K651" i="2"/>
  <c r="H651" i="2"/>
  <c r="G651" i="2"/>
  <c r="F651" i="2"/>
  <c r="E651" i="2"/>
  <c r="D651" i="2"/>
  <c r="K645" i="2"/>
  <c r="F645" i="2"/>
  <c r="E645" i="2"/>
  <c r="J645" i="2"/>
  <c r="I645" i="2"/>
  <c r="D645" i="2"/>
  <c r="G645" i="2"/>
  <c r="H645" i="2"/>
  <c r="I625" i="2"/>
  <c r="K625" i="2"/>
  <c r="J625" i="2"/>
  <c r="H625" i="2"/>
  <c r="F625" i="2"/>
  <c r="G625" i="2"/>
  <c r="G612" i="2"/>
  <c r="K612" i="2"/>
  <c r="I612" i="2"/>
  <c r="E612" i="2"/>
  <c r="J612" i="2"/>
  <c r="H612" i="2"/>
  <c r="F612" i="2"/>
  <c r="D612" i="2"/>
  <c r="E605" i="2"/>
  <c r="G605" i="2"/>
  <c r="K605" i="2"/>
  <c r="I605" i="2"/>
  <c r="J605" i="2"/>
  <c r="H605" i="2"/>
  <c r="F605" i="2"/>
  <c r="D605" i="2"/>
  <c r="E602" i="2"/>
  <c r="G602" i="2"/>
  <c r="K602" i="2"/>
  <c r="H602" i="2"/>
  <c r="F602" i="2"/>
  <c r="D602" i="2"/>
  <c r="I602" i="2"/>
  <c r="J602" i="2"/>
  <c r="K591" i="2"/>
  <c r="J591" i="2"/>
  <c r="I591" i="2"/>
  <c r="G591" i="2"/>
  <c r="H591" i="2"/>
  <c r="D591" i="2"/>
  <c r="F591" i="2"/>
  <c r="E591" i="2"/>
  <c r="E581" i="2"/>
  <c r="G581" i="2"/>
  <c r="H581" i="2"/>
  <c r="J581" i="2"/>
  <c r="K581" i="2"/>
  <c r="F581" i="2"/>
  <c r="D581" i="2"/>
  <c r="I581" i="2"/>
  <c r="H571" i="2"/>
  <c r="I571" i="2"/>
  <c r="J571" i="2"/>
  <c r="F571" i="2"/>
  <c r="D571" i="2"/>
  <c r="E571" i="2"/>
  <c r="K571" i="2"/>
  <c r="G571" i="2"/>
  <c r="I568" i="2"/>
  <c r="J568" i="2"/>
  <c r="E568" i="2"/>
  <c r="K568" i="2"/>
  <c r="H568" i="2"/>
  <c r="F568" i="2"/>
  <c r="D568" i="2"/>
  <c r="G568" i="2"/>
  <c r="G532" i="2"/>
  <c r="H532" i="2"/>
  <c r="I532" i="2"/>
  <c r="K532" i="2"/>
  <c r="J532" i="2"/>
  <c r="D532" i="2"/>
  <c r="E532" i="2"/>
  <c r="F532" i="2"/>
  <c r="E531" i="2"/>
  <c r="D531" i="2"/>
  <c r="I531" i="2"/>
  <c r="G531" i="2"/>
  <c r="H531" i="2"/>
  <c r="J531" i="2"/>
  <c r="K531" i="2"/>
  <c r="F531" i="2"/>
  <c r="J525" i="2"/>
  <c r="K525" i="2"/>
  <c r="I512" i="2"/>
  <c r="G512" i="2"/>
  <c r="D512" i="2"/>
  <c r="K512" i="2"/>
  <c r="F512" i="2"/>
  <c r="H512" i="2"/>
  <c r="J512" i="2"/>
  <c r="E512" i="2"/>
  <c r="D510" i="2"/>
  <c r="H510" i="2"/>
  <c r="I510" i="2"/>
  <c r="J510" i="2"/>
  <c r="K510" i="2"/>
  <c r="E510" i="2"/>
  <c r="G510" i="2"/>
  <c r="F510" i="2"/>
  <c r="F490" i="2"/>
  <c r="E490" i="2"/>
  <c r="D490" i="2"/>
  <c r="H483" i="2"/>
  <c r="F483" i="2"/>
  <c r="D483" i="2"/>
  <c r="I483" i="2"/>
  <c r="G483" i="2"/>
  <c r="K483" i="2"/>
  <c r="J483" i="2"/>
  <c r="E483" i="2"/>
  <c r="K475" i="2"/>
  <c r="I475" i="2"/>
  <c r="H475" i="2"/>
  <c r="F475" i="2"/>
  <c r="D475" i="2"/>
  <c r="J475" i="2"/>
  <c r="G475" i="2"/>
  <c r="E475" i="2"/>
  <c r="I470" i="2"/>
  <c r="G470" i="2"/>
  <c r="K470" i="2"/>
  <c r="E470" i="2"/>
  <c r="H470" i="2"/>
  <c r="J470" i="2"/>
  <c r="D470" i="2"/>
  <c r="F470" i="2"/>
  <c r="I466" i="2"/>
  <c r="J466" i="2"/>
  <c r="K466" i="2"/>
  <c r="H466" i="2"/>
  <c r="F466" i="2"/>
  <c r="D466" i="2"/>
  <c r="E466" i="2"/>
  <c r="G466" i="2"/>
  <c r="J460" i="2"/>
  <c r="H460" i="2"/>
  <c r="D460" i="2"/>
  <c r="I460" i="2"/>
  <c r="K460" i="2"/>
  <c r="F460" i="2"/>
  <c r="E460" i="2"/>
  <c r="G460" i="2"/>
  <c r="K455" i="2"/>
  <c r="I455" i="2"/>
  <c r="F455" i="2"/>
  <c r="E455" i="2"/>
  <c r="H455" i="2"/>
  <c r="G455" i="2"/>
  <c r="J455" i="2"/>
  <c r="D455" i="2"/>
  <c r="I449" i="2"/>
  <c r="H449" i="2"/>
  <c r="E449" i="2"/>
  <c r="D449" i="2"/>
  <c r="F449" i="2"/>
  <c r="G449" i="2"/>
  <c r="J449" i="2"/>
  <c r="K449" i="2"/>
  <c r="E436" i="2"/>
  <c r="D436" i="2"/>
  <c r="H436" i="2"/>
  <c r="G436" i="2"/>
  <c r="K436" i="2"/>
  <c r="I436" i="2"/>
  <c r="F436" i="2"/>
  <c r="J436" i="2"/>
  <c r="K429" i="2"/>
  <c r="I429" i="2"/>
  <c r="G429" i="2"/>
  <c r="E429" i="2"/>
  <c r="D429" i="2"/>
  <c r="F429" i="2"/>
  <c r="H429" i="2"/>
  <c r="J429" i="2"/>
  <c r="H428" i="2"/>
  <c r="F428" i="2"/>
  <c r="D428" i="2"/>
  <c r="E428" i="2"/>
  <c r="K428" i="2"/>
  <c r="I428" i="2"/>
  <c r="G428" i="2"/>
  <c r="J428" i="2"/>
  <c r="D421" i="2"/>
  <c r="G421" i="2"/>
  <c r="F421" i="2"/>
  <c r="E421" i="2"/>
  <c r="H417" i="2"/>
  <c r="E417" i="2"/>
  <c r="G417" i="2"/>
  <c r="K417" i="2"/>
  <c r="I417" i="2"/>
  <c r="J417" i="2"/>
  <c r="D417" i="2"/>
  <c r="F417" i="2"/>
  <c r="G416" i="2"/>
  <c r="E416" i="2"/>
  <c r="F416" i="2"/>
  <c r="D416" i="2"/>
  <c r="H416" i="2"/>
  <c r="I416" i="2"/>
  <c r="J416" i="2"/>
  <c r="K416" i="2"/>
  <c r="E412" i="2"/>
  <c r="I412" i="2"/>
  <c r="F412" i="2"/>
  <c r="G412" i="2"/>
  <c r="H412" i="2"/>
  <c r="K412" i="2"/>
  <c r="D412" i="2"/>
  <c r="J412" i="2"/>
  <c r="J410" i="2"/>
  <c r="K410" i="2"/>
  <c r="E410" i="2"/>
  <c r="D410" i="2"/>
  <c r="F410" i="2"/>
  <c r="H410" i="2"/>
  <c r="G410" i="2"/>
  <c r="I410" i="2"/>
  <c r="F403" i="2"/>
  <c r="H403" i="2"/>
  <c r="E403" i="2"/>
  <c r="D403" i="2"/>
  <c r="I403" i="2"/>
  <c r="K403" i="2"/>
  <c r="J403" i="2"/>
  <c r="G403" i="2"/>
  <c r="H401" i="2"/>
  <c r="G401" i="2"/>
  <c r="I401" i="2"/>
  <c r="J401" i="2"/>
  <c r="K401" i="2"/>
  <c r="F401" i="2"/>
  <c r="E401" i="2"/>
  <c r="D401" i="2"/>
  <c r="K393" i="2"/>
  <c r="I393" i="2"/>
  <c r="E393" i="2"/>
  <c r="F393" i="2"/>
  <c r="G393" i="2"/>
  <c r="H393" i="2"/>
  <c r="D393" i="2"/>
  <c r="J393" i="2"/>
  <c r="G379" i="2"/>
  <c r="I379" i="2"/>
  <c r="E379" i="2"/>
  <c r="J379" i="2"/>
  <c r="K379" i="2"/>
  <c r="D379" i="2"/>
  <c r="F379" i="2"/>
  <c r="H379" i="2"/>
  <c r="H377" i="2"/>
  <c r="G377" i="2"/>
  <c r="F377" i="2"/>
  <c r="E377" i="2"/>
  <c r="D377" i="2"/>
  <c r="I377" i="2"/>
  <c r="J377" i="2"/>
  <c r="K377" i="2"/>
  <c r="I374" i="2"/>
  <c r="D374" i="2"/>
  <c r="E374" i="2"/>
  <c r="G374" i="2"/>
  <c r="H374" i="2"/>
  <c r="F374" i="2"/>
  <c r="J374" i="2"/>
  <c r="K374" i="2"/>
  <c r="F367" i="2"/>
  <c r="G367" i="2"/>
  <c r="E367" i="2"/>
  <c r="D367" i="2"/>
  <c r="I367" i="2"/>
  <c r="H367" i="2"/>
  <c r="K367" i="2"/>
  <c r="J367" i="2"/>
  <c r="I364" i="2"/>
  <c r="J364" i="2"/>
  <c r="H364" i="2"/>
  <c r="G364" i="2"/>
  <c r="F364" i="2"/>
  <c r="E364" i="2"/>
  <c r="K364" i="2"/>
  <c r="D364" i="2"/>
  <c r="H359" i="2"/>
  <c r="K359" i="2"/>
  <c r="J359" i="2"/>
  <c r="I359" i="2"/>
  <c r="G359" i="2"/>
  <c r="F359" i="2"/>
  <c r="E359" i="2"/>
  <c r="D359" i="2"/>
  <c r="H350" i="2"/>
  <c r="F350" i="2"/>
  <c r="E350" i="2"/>
  <c r="G350" i="2"/>
  <c r="K350" i="2"/>
  <c r="J350" i="2"/>
  <c r="I350" i="2"/>
  <c r="D350" i="2"/>
  <c r="K349" i="2"/>
  <c r="I349" i="2"/>
  <c r="G349" i="2"/>
  <c r="F349" i="2"/>
  <c r="E349" i="2"/>
  <c r="D349" i="2"/>
  <c r="J349" i="2"/>
  <c r="H349" i="2"/>
  <c r="K345" i="2"/>
  <c r="J345" i="2"/>
  <c r="D345" i="2"/>
  <c r="E345" i="2"/>
  <c r="F345" i="2"/>
  <c r="G345" i="2"/>
  <c r="H345" i="2"/>
  <c r="I345" i="2"/>
  <c r="D338" i="2"/>
  <c r="E338" i="2"/>
  <c r="G338" i="2"/>
  <c r="H338" i="2"/>
  <c r="I338" i="2"/>
  <c r="J338" i="2"/>
  <c r="F338" i="2"/>
  <c r="K338" i="2"/>
  <c r="E334" i="2"/>
  <c r="D334" i="2"/>
  <c r="H334" i="2"/>
  <c r="J334" i="2"/>
  <c r="F334" i="2"/>
  <c r="K334" i="2"/>
  <c r="I334" i="2"/>
  <c r="G334" i="2"/>
  <c r="I333" i="2"/>
  <c r="H333" i="2"/>
  <c r="G333" i="2"/>
  <c r="E333" i="2"/>
  <c r="D333" i="2"/>
  <c r="F333" i="2"/>
  <c r="K333" i="2"/>
  <c r="J333" i="2"/>
  <c r="J332" i="2"/>
  <c r="I332" i="2"/>
  <c r="H332" i="2"/>
  <c r="E332" i="2"/>
  <c r="G332" i="2"/>
  <c r="K332" i="2"/>
  <c r="D332" i="2"/>
  <c r="F332" i="2"/>
  <c r="K329" i="2"/>
  <c r="J329" i="2"/>
  <c r="I329" i="2"/>
  <c r="H329" i="2"/>
  <c r="G329" i="2"/>
  <c r="F329" i="2"/>
  <c r="E329" i="2"/>
  <c r="D329" i="2"/>
  <c r="G325" i="2"/>
  <c r="H325" i="2"/>
  <c r="I325" i="2"/>
  <c r="K325" i="2"/>
  <c r="F325" i="2"/>
  <c r="E325" i="2"/>
  <c r="D325" i="2"/>
  <c r="J325" i="2"/>
  <c r="K317" i="2"/>
  <c r="J317" i="2"/>
  <c r="H317" i="2"/>
  <c r="G317" i="2"/>
  <c r="F317" i="2"/>
  <c r="I317" i="2"/>
  <c r="E317" i="2"/>
  <c r="D317" i="2"/>
  <c r="H301" i="2"/>
  <c r="I301" i="2"/>
  <c r="G301" i="2"/>
  <c r="F301" i="2"/>
  <c r="E301" i="2"/>
  <c r="D301" i="2"/>
  <c r="K301" i="2"/>
  <c r="J301" i="2"/>
  <c r="D296" i="2"/>
  <c r="H296" i="2"/>
  <c r="I296" i="2"/>
  <c r="E296" i="2"/>
  <c r="F296" i="2"/>
  <c r="G296" i="2"/>
  <c r="K296" i="2"/>
  <c r="J296" i="2"/>
  <c r="K294" i="2"/>
  <c r="F294" i="2"/>
  <c r="D294" i="2"/>
  <c r="E294" i="2"/>
  <c r="G294" i="2"/>
  <c r="J294" i="2"/>
  <c r="I294" i="2"/>
  <c r="H294" i="2"/>
  <c r="G293" i="2"/>
  <c r="H293" i="2"/>
  <c r="I293" i="2"/>
  <c r="K293" i="2"/>
  <c r="J293" i="2"/>
  <c r="F293" i="2"/>
  <c r="E293" i="2"/>
  <c r="D293" i="2"/>
  <c r="I288" i="2"/>
  <c r="K288" i="2"/>
  <c r="H288" i="2"/>
  <c r="D288" i="2"/>
  <c r="J288" i="2"/>
  <c r="E288" i="2"/>
  <c r="G288" i="2"/>
  <c r="F288" i="2"/>
  <c r="I287" i="2"/>
  <c r="K287" i="2"/>
  <c r="E287" i="2"/>
  <c r="J287" i="2"/>
  <c r="D287" i="2"/>
  <c r="G287" i="2"/>
  <c r="F287" i="2"/>
  <c r="H287" i="2"/>
  <c r="E285" i="2"/>
  <c r="F285" i="2"/>
  <c r="G285" i="2"/>
  <c r="H285" i="2"/>
  <c r="J285" i="2"/>
  <c r="K285" i="2"/>
  <c r="D285" i="2"/>
  <c r="I285" i="2"/>
  <c r="H278" i="2"/>
  <c r="I278" i="2"/>
  <c r="J278" i="2"/>
  <c r="K278" i="2"/>
  <c r="F278" i="2"/>
  <c r="D278" i="2"/>
  <c r="E278" i="2"/>
  <c r="G278" i="2"/>
  <c r="F267" i="2"/>
  <c r="K267" i="2"/>
  <c r="J267" i="2"/>
  <c r="I267" i="2"/>
  <c r="H267" i="2"/>
  <c r="G267" i="2"/>
  <c r="E267" i="2"/>
  <c r="D267" i="2"/>
  <c r="E266" i="2"/>
  <c r="D266" i="2"/>
  <c r="G266" i="2"/>
  <c r="I266" i="2"/>
  <c r="J266" i="2"/>
  <c r="K266" i="2"/>
  <c r="H266" i="2"/>
  <c r="F266" i="2"/>
  <c r="K259" i="2"/>
  <c r="J259" i="2"/>
  <c r="H259" i="2"/>
  <c r="G259" i="2"/>
  <c r="I259" i="2"/>
  <c r="F259" i="2"/>
  <c r="D259" i="2"/>
  <c r="E259" i="2"/>
  <c r="D249" i="2"/>
  <c r="K249" i="2"/>
  <c r="J249" i="2"/>
  <c r="E249" i="2"/>
  <c r="F249" i="2"/>
  <c r="G249" i="2"/>
  <c r="H249" i="2"/>
  <c r="I249" i="2"/>
  <c r="I242" i="2"/>
  <c r="D242" i="2"/>
  <c r="G242" i="2"/>
  <c r="J242" i="2"/>
  <c r="K242" i="2"/>
  <c r="E242" i="2"/>
  <c r="F242" i="2"/>
  <c r="H242" i="2"/>
  <c r="D236" i="2"/>
  <c r="E236" i="2"/>
  <c r="H236" i="2"/>
  <c r="I236" i="2"/>
  <c r="J236" i="2"/>
  <c r="F236" i="2"/>
  <c r="G236" i="2"/>
  <c r="K236" i="2"/>
  <c r="I230" i="2"/>
  <c r="J230" i="2"/>
  <c r="K230" i="2"/>
  <c r="E230" i="2"/>
  <c r="G230" i="2"/>
  <c r="H230" i="2"/>
  <c r="F230" i="2"/>
  <c r="D230" i="2"/>
  <c r="G229" i="2"/>
  <c r="H229" i="2"/>
  <c r="I229" i="2"/>
  <c r="J229" i="2"/>
  <c r="K229" i="2"/>
  <c r="D229" i="2"/>
  <c r="E229" i="2"/>
  <c r="F229" i="2"/>
  <c r="D228" i="2"/>
  <c r="F228" i="2"/>
  <c r="E228" i="2"/>
  <c r="K228" i="2"/>
  <c r="H228" i="2"/>
  <c r="J228" i="2"/>
  <c r="I228" i="2"/>
  <c r="G228" i="2"/>
  <c r="G227" i="2"/>
  <c r="H227" i="2"/>
  <c r="I227" i="2"/>
  <c r="J227" i="2"/>
  <c r="F227" i="2"/>
  <c r="K227" i="2"/>
  <c r="D227" i="2"/>
  <c r="E227" i="2"/>
  <c r="H220" i="2"/>
  <c r="G220" i="2"/>
  <c r="F220" i="2"/>
  <c r="J220" i="2"/>
  <c r="D220" i="2"/>
  <c r="I220" i="2"/>
  <c r="K220" i="2"/>
  <c r="E220" i="2"/>
  <c r="J215" i="2"/>
  <c r="F215" i="2"/>
  <c r="E215" i="2"/>
  <c r="K215" i="2"/>
  <c r="I215" i="2"/>
  <c r="H215" i="2"/>
  <c r="G215" i="2"/>
  <c r="D215" i="2"/>
  <c r="I214" i="2"/>
  <c r="F214" i="2"/>
  <c r="E214" i="2"/>
  <c r="K214" i="2"/>
  <c r="D214" i="2"/>
  <c r="J214" i="2"/>
  <c r="H214" i="2"/>
  <c r="G214" i="2"/>
  <c r="D212" i="2"/>
  <c r="E212" i="2"/>
  <c r="F212" i="2"/>
  <c r="H212" i="2"/>
  <c r="J212" i="2"/>
  <c r="G212" i="2"/>
  <c r="I212" i="2"/>
  <c r="K212" i="2"/>
  <c r="G210" i="2"/>
  <c r="E210" i="2"/>
  <c r="J210" i="2"/>
  <c r="H210" i="2"/>
  <c r="F210" i="2"/>
  <c r="D210" i="2"/>
  <c r="K210" i="2"/>
  <c r="I210" i="2"/>
  <c r="H209" i="2"/>
  <c r="F209" i="2"/>
  <c r="E209" i="2"/>
  <c r="I209" i="2"/>
  <c r="D209" i="2"/>
  <c r="G209" i="2"/>
  <c r="K209" i="2"/>
  <c r="J209" i="2"/>
  <c r="E206" i="2"/>
  <c r="F206" i="2"/>
  <c r="G206" i="2"/>
  <c r="H206" i="2"/>
  <c r="D206" i="2"/>
  <c r="I206" i="2"/>
  <c r="K206" i="2"/>
  <c r="J206" i="2"/>
  <c r="E203" i="2"/>
  <c r="F203" i="2"/>
  <c r="G203" i="2"/>
  <c r="H203" i="2"/>
  <c r="I203" i="2"/>
  <c r="J203" i="2"/>
  <c r="K203" i="2"/>
  <c r="D203" i="2"/>
  <c r="G196" i="2"/>
  <c r="H196" i="2"/>
  <c r="I196" i="2"/>
  <c r="K196" i="2"/>
  <c r="J196" i="2"/>
  <c r="D196" i="2"/>
  <c r="E196" i="2"/>
  <c r="F196" i="2"/>
  <c r="E191" i="2"/>
  <c r="H191" i="2"/>
  <c r="I191" i="2"/>
  <c r="J191" i="2"/>
  <c r="K191" i="2"/>
  <c r="G191" i="2"/>
  <c r="F191" i="2"/>
  <c r="D191" i="2"/>
  <c r="K183" i="2"/>
  <c r="J183" i="2"/>
  <c r="I183" i="2"/>
  <c r="H183" i="2"/>
  <c r="D183" i="2"/>
  <c r="E183" i="2"/>
  <c r="F183" i="2"/>
  <c r="G183" i="2"/>
  <c r="D182" i="2"/>
  <c r="G182" i="2"/>
  <c r="H182" i="2"/>
  <c r="F182" i="2"/>
  <c r="E182" i="2"/>
  <c r="K182" i="2"/>
  <c r="I182" i="2"/>
  <c r="J182" i="2"/>
  <c r="J181" i="2"/>
  <c r="E181" i="2"/>
  <c r="F181" i="2"/>
  <c r="D181" i="2"/>
  <c r="H181" i="2"/>
  <c r="K181" i="2"/>
  <c r="G181" i="2"/>
  <c r="I181" i="2"/>
  <c r="G175" i="2"/>
  <c r="I175" i="2"/>
  <c r="J175" i="2"/>
  <c r="K175" i="2"/>
  <c r="H175" i="2"/>
  <c r="D175" i="2"/>
  <c r="E175" i="2"/>
  <c r="F175" i="2"/>
  <c r="D168" i="2"/>
  <c r="E168" i="2"/>
  <c r="F168" i="2"/>
  <c r="G168" i="2"/>
  <c r="H168" i="2"/>
  <c r="I168" i="2"/>
  <c r="J168" i="2"/>
  <c r="K168" i="2"/>
  <c r="E164" i="2"/>
  <c r="D164" i="2"/>
  <c r="K164" i="2"/>
  <c r="J164" i="2"/>
  <c r="I164" i="2"/>
  <c r="H164" i="2"/>
  <c r="G164" i="2"/>
  <c r="F164" i="2"/>
  <c r="D160" i="2"/>
  <c r="H160" i="2"/>
  <c r="K160" i="2"/>
  <c r="F160" i="2"/>
  <c r="E160" i="2"/>
  <c r="G160" i="2"/>
  <c r="I160" i="2"/>
  <c r="J160" i="2"/>
  <c r="D150" i="2"/>
  <c r="E150" i="2"/>
  <c r="F150" i="2"/>
  <c r="G150" i="2"/>
  <c r="H150" i="2"/>
  <c r="I150" i="2"/>
  <c r="J150" i="2"/>
  <c r="K150" i="2"/>
  <c r="E148" i="2"/>
  <c r="J148" i="2"/>
  <c r="H148" i="2"/>
  <c r="G148" i="2"/>
  <c r="D148" i="2"/>
  <c r="F148" i="2"/>
  <c r="I148" i="2"/>
  <c r="K148" i="2"/>
  <c r="D143" i="2"/>
  <c r="E143" i="2"/>
  <c r="F143" i="2"/>
  <c r="G143" i="2"/>
  <c r="H143" i="2"/>
  <c r="I143" i="2"/>
  <c r="J143" i="2"/>
  <c r="K143" i="2"/>
  <c r="J140" i="2"/>
  <c r="I140" i="2"/>
  <c r="D140" i="2"/>
  <c r="E140" i="2"/>
  <c r="F140" i="2"/>
  <c r="G140" i="2"/>
  <c r="K140" i="2"/>
  <c r="H140" i="2"/>
  <c r="K138" i="2"/>
  <c r="H138" i="2"/>
  <c r="G138" i="2"/>
  <c r="J138" i="2"/>
  <c r="I138" i="2"/>
  <c r="F138" i="2"/>
  <c r="D138" i="2"/>
  <c r="E138" i="2"/>
  <c r="G130" i="2"/>
  <c r="K130" i="2"/>
  <c r="F130" i="2"/>
  <c r="E130" i="2"/>
  <c r="D130" i="2"/>
  <c r="I130" i="2"/>
  <c r="J130" i="2"/>
  <c r="H130" i="2"/>
  <c r="F128" i="2"/>
  <c r="D128" i="2"/>
  <c r="E128" i="2"/>
  <c r="G128" i="2"/>
  <c r="H128" i="2"/>
  <c r="I128" i="2"/>
  <c r="J128" i="2"/>
  <c r="K128" i="2"/>
  <c r="K126" i="2"/>
  <c r="I126" i="2"/>
  <c r="G126" i="2"/>
  <c r="J126" i="2"/>
  <c r="H126" i="2"/>
  <c r="E126" i="2"/>
  <c r="D126" i="2"/>
  <c r="F126" i="2"/>
  <c r="K122" i="2"/>
  <c r="H122" i="2"/>
  <c r="J122" i="2"/>
  <c r="I122" i="2"/>
  <c r="D122" i="2"/>
  <c r="E122" i="2"/>
  <c r="F122" i="2"/>
  <c r="G122" i="2"/>
  <c r="D119" i="2"/>
  <c r="F119" i="2"/>
  <c r="H119" i="2"/>
  <c r="J119" i="2"/>
  <c r="I119" i="2"/>
  <c r="G119" i="2"/>
  <c r="E119" i="2"/>
  <c r="K119" i="2"/>
  <c r="I113" i="2"/>
  <c r="D113" i="2"/>
  <c r="E113" i="2"/>
  <c r="H113" i="2"/>
  <c r="J113" i="2"/>
  <c r="K113" i="2"/>
  <c r="G113" i="2"/>
  <c r="F113" i="2"/>
  <c r="D110" i="2"/>
  <c r="I110" i="2"/>
  <c r="K110" i="2"/>
  <c r="J110" i="2"/>
  <c r="G110" i="2"/>
  <c r="H110" i="2"/>
  <c r="F110" i="2"/>
  <c r="E110" i="2"/>
  <c r="D109" i="2"/>
  <c r="E109" i="2"/>
  <c r="F109" i="2"/>
  <c r="G109" i="2"/>
  <c r="H109" i="2"/>
  <c r="I109" i="2"/>
  <c r="J109" i="2"/>
  <c r="K109" i="2"/>
  <c r="J108" i="2"/>
  <c r="I108" i="2"/>
  <c r="H108" i="2"/>
  <c r="K108" i="2"/>
  <c r="G108" i="2"/>
  <c r="F108" i="2"/>
  <c r="E108" i="2"/>
  <c r="D108" i="2"/>
  <c r="D100" i="2"/>
  <c r="F100" i="2"/>
  <c r="J100" i="2"/>
  <c r="K100" i="2"/>
  <c r="I100" i="2"/>
  <c r="G100" i="2"/>
  <c r="E100" i="2"/>
  <c r="H100" i="2"/>
  <c r="K96" i="2"/>
  <c r="J96" i="2"/>
  <c r="I96" i="2"/>
  <c r="H96" i="2"/>
  <c r="G96" i="2"/>
  <c r="F96" i="2"/>
  <c r="E96" i="2"/>
  <c r="D96" i="2"/>
  <c r="D92" i="2"/>
  <c r="K92" i="2"/>
  <c r="J92" i="2"/>
  <c r="I92" i="2"/>
  <c r="H92" i="2"/>
  <c r="G92" i="2"/>
  <c r="F92" i="2"/>
  <c r="E92" i="2"/>
  <c r="H87" i="2"/>
  <c r="I87" i="2"/>
  <c r="F87" i="2"/>
  <c r="J87" i="2"/>
  <c r="D87" i="2"/>
  <c r="E87" i="2"/>
  <c r="K87" i="2"/>
  <c r="G87" i="2"/>
  <c r="I84" i="2"/>
  <c r="K84" i="2"/>
  <c r="H84" i="2"/>
  <c r="J84" i="2"/>
  <c r="D84" i="2"/>
  <c r="E84" i="2"/>
  <c r="F84" i="2"/>
  <c r="G84" i="2"/>
  <c r="I80" i="2"/>
  <c r="F80" i="2"/>
  <c r="D80" i="2"/>
  <c r="K80" i="2"/>
  <c r="H80" i="2"/>
  <c r="E80" i="2"/>
  <c r="G80" i="2"/>
  <c r="J80" i="2"/>
  <c r="I76" i="2"/>
  <c r="F76" i="2"/>
  <c r="D76" i="2"/>
  <c r="K76" i="2"/>
  <c r="J76" i="2"/>
  <c r="H76" i="2"/>
  <c r="G76" i="2"/>
  <c r="E76" i="2"/>
  <c r="E72" i="2"/>
  <c r="I72" i="2"/>
  <c r="D72" i="2"/>
  <c r="G72" i="2"/>
  <c r="K72" i="2"/>
  <c r="H72" i="2"/>
  <c r="F72" i="2"/>
  <c r="J72" i="2"/>
  <c r="J69" i="2"/>
  <c r="K69" i="2"/>
  <c r="D69" i="2"/>
  <c r="E69" i="2"/>
  <c r="F69" i="2"/>
  <c r="G69" i="2"/>
  <c r="H69" i="2"/>
  <c r="I69" i="2"/>
  <c r="I65" i="2"/>
  <c r="F65" i="2"/>
  <c r="K65" i="2"/>
  <c r="E65" i="2"/>
  <c r="G65" i="2"/>
  <c r="H65" i="2"/>
  <c r="D65" i="2"/>
  <c r="J65" i="2"/>
  <c r="K63" i="2"/>
  <c r="G63" i="2"/>
  <c r="H63" i="2"/>
  <c r="I63" i="2"/>
  <c r="F63" i="2"/>
  <c r="E63" i="2"/>
  <c r="D63" i="2"/>
  <c r="J63" i="2"/>
  <c r="K50" i="2"/>
  <c r="F50" i="2"/>
  <c r="E50" i="2"/>
  <c r="D50" i="2"/>
  <c r="J50" i="2"/>
  <c r="H50" i="2"/>
  <c r="I50" i="2"/>
  <c r="G50" i="2"/>
  <c r="D48" i="2"/>
  <c r="I48" i="2"/>
  <c r="J48" i="2"/>
  <c r="K48" i="2"/>
  <c r="F48" i="2"/>
  <c r="E48" i="2"/>
  <c r="G48" i="2"/>
  <c r="H48" i="2"/>
  <c r="F46" i="2"/>
  <c r="E46" i="2"/>
  <c r="D46" i="2"/>
  <c r="I46" i="2"/>
  <c r="J46" i="2"/>
  <c r="G46" i="2"/>
  <c r="H46" i="2"/>
  <c r="K46" i="2"/>
  <c r="E45" i="2"/>
  <c r="I45" i="2"/>
  <c r="J45" i="2"/>
  <c r="K45" i="2"/>
  <c r="F45" i="2"/>
  <c r="G45" i="2"/>
  <c r="H45" i="2"/>
  <c r="D45" i="2"/>
  <c r="E44" i="2"/>
  <c r="J44" i="2"/>
  <c r="K44" i="2"/>
  <c r="D44" i="2"/>
  <c r="F44" i="2"/>
  <c r="G44" i="2"/>
  <c r="H44" i="2"/>
  <c r="I44" i="2"/>
  <c r="K43" i="2"/>
  <c r="G43" i="2"/>
  <c r="F43" i="2"/>
  <c r="E43" i="2"/>
  <c r="D43" i="2"/>
  <c r="H43" i="2"/>
  <c r="I43" i="2"/>
  <c r="J43" i="2"/>
  <c r="G39" i="2"/>
  <c r="F39" i="2"/>
  <c r="D39" i="2"/>
  <c r="K39" i="2"/>
  <c r="E39" i="2"/>
  <c r="J39" i="2"/>
  <c r="I39" i="2"/>
  <c r="H39" i="2"/>
  <c r="E38" i="2"/>
  <c r="K38" i="2"/>
  <c r="D38" i="2"/>
  <c r="F38" i="2"/>
  <c r="G38" i="2"/>
  <c r="H38" i="2"/>
  <c r="J38" i="2"/>
  <c r="I38" i="2"/>
  <c r="H35" i="2"/>
  <c r="F35" i="2"/>
  <c r="D35" i="2"/>
  <c r="E35" i="2"/>
  <c r="J35" i="2"/>
  <c r="K35" i="2"/>
  <c r="I35" i="2"/>
  <c r="G35" i="2"/>
  <c r="H29" i="2"/>
  <c r="I29" i="2"/>
  <c r="F29" i="2"/>
  <c r="K29" i="2"/>
  <c r="E29" i="2"/>
  <c r="J29" i="2"/>
  <c r="G29" i="2"/>
  <c r="D29" i="2"/>
  <c r="H26" i="2"/>
  <c r="I26" i="2"/>
  <c r="J26" i="2"/>
  <c r="K26" i="2"/>
  <c r="E26" i="2"/>
  <c r="D26" i="2"/>
  <c r="F26" i="2"/>
  <c r="G26" i="2"/>
  <c r="D23" i="2"/>
  <c r="J23" i="2"/>
  <c r="H23" i="2"/>
  <c r="K23" i="2"/>
  <c r="E23" i="2"/>
  <c r="G23" i="2"/>
  <c r="F23" i="2"/>
  <c r="I23" i="2"/>
  <c r="J20" i="2"/>
  <c r="I20" i="2"/>
  <c r="K20" i="2"/>
  <c r="D20" i="2"/>
  <c r="H20" i="2"/>
  <c r="F20" i="2"/>
  <c r="E20" i="2"/>
  <c r="G20" i="2"/>
  <c r="H16" i="2"/>
  <c r="I16" i="2"/>
  <c r="D16" i="2"/>
  <c r="E16" i="2"/>
  <c r="F16" i="2"/>
  <c r="G16" i="2"/>
  <c r="K16" i="2"/>
  <c r="J16" i="2"/>
  <c r="I14" i="2"/>
  <c r="E14" i="2"/>
  <c r="D14" i="2"/>
  <c r="F14" i="2"/>
  <c r="G14" i="2"/>
  <c r="H14" i="2"/>
  <c r="K14" i="2"/>
  <c r="J14" i="2"/>
  <c r="E8" i="2"/>
  <c r="G8" i="2"/>
  <c r="H8" i="2"/>
  <c r="D8" i="2"/>
  <c r="F8" i="2"/>
  <c r="I8" i="2"/>
  <c r="K8" i="2"/>
  <c r="J8" i="2"/>
  <c r="K176" i="2"/>
  <c r="J176" i="2"/>
  <c r="I176" i="2"/>
  <c r="H176" i="2"/>
  <c r="G176" i="2"/>
  <c r="F176" i="2"/>
  <c r="E176" i="2"/>
  <c r="D176" i="2"/>
</calcChain>
</file>

<file path=xl/sharedStrings.xml><?xml version="1.0" encoding="utf-8"?>
<sst xmlns="http://schemas.openxmlformats.org/spreadsheetml/2006/main" count="2129" uniqueCount="1934">
  <si>
    <t>The Orchard Golf &amp; Country Club</t>
  </si>
  <si>
    <t>MEMBER HANDICAP LISTING (LADIES)</t>
  </si>
  <si>
    <t>Mem No.</t>
  </si>
  <si>
    <t>Member Name</t>
  </si>
  <si>
    <t xml:space="preserve">Handicap Index® </t>
  </si>
  <si>
    <t>PALMER</t>
  </si>
  <si>
    <t>PLAYER</t>
  </si>
  <si>
    <t>COURSE HANDICAP</t>
  </si>
  <si>
    <t>WHITE</t>
  </si>
  <si>
    <t>RED</t>
  </si>
  <si>
    <t>Abad, kathrina S.</t>
  </si>
  <si>
    <t>Abanilla, Marie Felise</t>
  </si>
  <si>
    <t>Abanilla, Marina Hannah</t>
  </si>
  <si>
    <t>Adams, Maria Lea</t>
  </si>
  <si>
    <t>Adorable, Edna O.</t>
  </si>
  <si>
    <t>Agamata, Lily Victoria</t>
  </si>
  <si>
    <t>AGUSTIN, Imelda</t>
  </si>
  <si>
    <t>AIYER, PALLAVI</t>
  </si>
  <si>
    <t>AIYER, PURVI</t>
  </si>
  <si>
    <t>Anastacio, Angelika</t>
  </si>
  <si>
    <t>Anchores-Reunilla, Anna Romina</t>
  </si>
  <si>
    <t>ANTE, CAMILLE</t>
  </si>
  <si>
    <t>ANTE, SUSANA SINSOA</t>
  </si>
  <si>
    <t>Antonio, Aireen Melanie</t>
  </si>
  <si>
    <t>ARGUELLES, Ma. TERESA</t>
  </si>
  <si>
    <t>Arkoncel, Deanna Mae F</t>
  </si>
  <si>
    <t>Asban, Louisse Josel</t>
  </si>
  <si>
    <t>ASTEJADA, VALERIE</t>
  </si>
  <si>
    <t>AZARCON, NATALIE PIA H.</t>
  </si>
  <si>
    <t>Baek, Mina</t>
  </si>
  <si>
    <t>BALAHADIA, EMELIE</t>
  </si>
  <si>
    <t>BALAYAN, MARIA ANGELA</t>
  </si>
  <si>
    <t>BANTILING, ELENITA</t>
  </si>
  <si>
    <t>Bardon, Lilian "Lenie"</t>
  </si>
  <si>
    <t>Barrameda, Sheryl</t>
  </si>
  <si>
    <t>Basa, Christine Mae</t>
  </si>
  <si>
    <t>BASA, PIA</t>
  </si>
  <si>
    <t>Bato, Charmagne Ross</t>
  </si>
  <si>
    <t>Benitez, Lara Noelle</t>
  </si>
  <si>
    <t>Benitez, Nikki Rose</t>
  </si>
  <si>
    <t>Bernardino, Maria Katarina</t>
  </si>
  <si>
    <t>Bernardino, Tea Kelsey</t>
  </si>
  <si>
    <t>BERNARDINO, TIFFANY MARKITA</t>
  </si>
  <si>
    <t>Bernardino, Tyly Quinna</t>
  </si>
  <si>
    <t>BOSCH, JANIEFER</t>
  </si>
  <si>
    <t>Cai, Rebecca</t>
  </si>
  <si>
    <t>Caraig, Roscelyn</t>
  </si>
  <si>
    <t>CAREY, APRIL ANN</t>
  </si>
  <si>
    <t>Casas, Cecilia</t>
  </si>
  <si>
    <t>Castillo, Cecilia Grace</t>
  </si>
  <si>
    <t>Castro, Marsha Antonia</t>
  </si>
  <si>
    <t>CATINDIG, Ma. YSABEL R</t>
  </si>
  <si>
    <t>Cebrian, Kylie</t>
  </si>
  <si>
    <t>Cebrian, Liberty</t>
  </si>
  <si>
    <t>Chang, Yoon Jin</t>
  </si>
  <si>
    <t>CHENG, Lucy D</t>
  </si>
  <si>
    <t>Ching, Demi-Riah</t>
  </si>
  <si>
    <t>Cho, Yeunkyung</t>
  </si>
  <si>
    <t>Cho, Youn Ju</t>
  </si>
  <si>
    <t>Choi, Eun Jung</t>
  </si>
  <si>
    <t>CHOI, YUN JUN</t>
  </si>
  <si>
    <t>CHUA, Christine Kelly</t>
  </si>
  <si>
    <t>Chua, Denise Geraldine</t>
  </si>
  <si>
    <t>Chung, Eunsun</t>
  </si>
  <si>
    <t>Concha, Melina "Mimi"</t>
  </si>
  <si>
    <t>Cook, Liza</t>
  </si>
  <si>
    <t>Coronel, Patricia</t>
  </si>
  <si>
    <t>COSTES, JOCELYN M.</t>
  </si>
  <si>
    <t>Costes, Joedi</t>
  </si>
  <si>
    <t>Cragg, Janina</t>
  </si>
  <si>
    <t>Cristobal, Darlene Ciara</t>
  </si>
  <si>
    <t>CRUZ, REBECCA</t>
  </si>
  <si>
    <t>Custodio, Paola Kristina</t>
  </si>
  <si>
    <t>Dacanay-Datuon, Candy</t>
  </si>
  <si>
    <t>De La PeÃ±a, Annie</t>
  </si>
  <si>
    <t>De Leon, Jomelle</t>
  </si>
  <si>
    <t>Pending</t>
  </si>
  <si>
    <t>NH</t>
  </si>
  <si>
    <t>De Roxas, Maurice Danielle</t>
  </si>
  <si>
    <t>De Roxas, Mia Frances</t>
  </si>
  <si>
    <t>Del Mundo, Kamilla Edrianna</t>
  </si>
  <si>
    <t>DEL ROSARIO, Marilyn Juliet</t>
  </si>
  <si>
    <t>DELAMARRE, ESTELITA E</t>
  </si>
  <si>
    <t>Delmo, Dulce</t>
  </si>
  <si>
    <t>DESMEDT, KIM</t>
  </si>
  <si>
    <t>DETABALI, PAMELA M</t>
  </si>
  <si>
    <t>DULAY, ODYSSEY V</t>
  </si>
  <si>
    <t>Dungo, Elizabeth</t>
  </si>
  <si>
    <t>DY, MARIA AMELIA M</t>
  </si>
  <si>
    <t>DY, THEAMAR   Y.</t>
  </si>
  <si>
    <t>Enaje, Laurina</t>
  </si>
  <si>
    <t>Erb, Victoria</t>
  </si>
  <si>
    <t>Espiritu, Ma. Eliana</t>
  </si>
  <si>
    <t>ESTRADA, PRISCILLA</t>
  </si>
  <si>
    <t>Fabregas, Maria Regina</t>
  </si>
  <si>
    <t>Fernandez, Francesca Ma. Cristina</t>
  </si>
  <si>
    <t>Fernandez, Mckenzie Raya</t>
  </si>
  <si>
    <t>Fernando, Amanda Maxene</t>
  </si>
  <si>
    <t>Ferrer, Stephanie Angela</t>
  </si>
  <si>
    <t>FORTUNA, Mikhaela Denise</t>
  </si>
  <si>
    <t>FRANCISCO, PATRICIA P</t>
  </si>
  <si>
    <t>Francisco, Yvette Dominique</t>
  </si>
  <si>
    <t>Fujiwara, Lucila</t>
  </si>
  <si>
    <t>Funa, Katrina Isabel</t>
  </si>
  <si>
    <t>Galido, Rina Michaela J.</t>
  </si>
  <si>
    <t>Galvez, Cole Parker</t>
  </si>
  <si>
    <t>Garcia, Samantha Therese</t>
  </si>
  <si>
    <t>Garcia, Sarah Mireille</t>
  </si>
  <si>
    <t>Garrido, Marieta N.</t>
  </si>
  <si>
    <t>GATMAITAN, EDNA B</t>
  </si>
  <si>
    <t>Geniza, Ma. Victoria A</t>
  </si>
  <si>
    <t>Go, Kathryn Eunice</t>
  </si>
  <si>
    <t>Gomez, Genevieve</t>
  </si>
  <si>
    <t>Gordon, Guia Bettina</t>
  </si>
  <si>
    <t>Gordon, Sarah Isabel</t>
  </si>
  <si>
    <t>Grecia, Hazel O.</t>
  </si>
  <si>
    <t>Gregorio, Ma. Victoria D.</t>
  </si>
  <si>
    <t>Gutierrez, Cristina Joymarie  L.</t>
  </si>
  <si>
    <t>HAN, CHOOHEE</t>
  </si>
  <si>
    <t>Han, Jung Min</t>
  </si>
  <si>
    <t>Han, Juyeon</t>
  </si>
  <si>
    <t>Han, Pyung Hwa</t>
  </si>
  <si>
    <t>Han, Seojin</t>
  </si>
  <si>
    <t>HAN, YOUNG SOON</t>
  </si>
  <si>
    <t>Heo, Ji Yeon</t>
  </si>
  <si>
    <t>Her, Saetbyeol</t>
  </si>
  <si>
    <t>HWANG, HEE SEOK</t>
  </si>
  <si>
    <t>Hwang, Seon Young</t>
  </si>
  <si>
    <t>HWANG, WORL LYE</t>
  </si>
  <si>
    <t>Ibay, Annika Beatrice</t>
  </si>
  <si>
    <t>Inacay, Stella Berna Lo</t>
  </si>
  <si>
    <t>Islam, Monika S.</t>
  </si>
  <si>
    <t>Jang, Eun Young "Irene"</t>
  </si>
  <si>
    <t>JANG, EUNKYEONG</t>
  </si>
  <si>
    <t>Jang, Hyosun</t>
  </si>
  <si>
    <t>Jang, Minhae</t>
  </si>
  <si>
    <t>Jang, Miyoung</t>
  </si>
  <si>
    <t>Javellana, Marielle Graciela Benitez</t>
  </si>
  <si>
    <t>JAVIER, CRISTINA</t>
  </si>
  <si>
    <t>JEONG, IL RAN</t>
  </si>
  <si>
    <t>Jeong, Jiyeon</t>
  </si>
  <si>
    <t>JIMENEZ, MELISSA</t>
  </si>
  <si>
    <t>Joson, Shiva Shafeei</t>
  </si>
  <si>
    <t>JUANE, KATRINA</t>
  </si>
  <si>
    <t>Juarez, Alexis Cassandra L.</t>
  </si>
  <si>
    <t>JUN, JEREMY</t>
  </si>
  <si>
    <t>JUNG, HYUN SUK</t>
  </si>
  <si>
    <t>JUNG, JI EUN</t>
  </si>
  <si>
    <t>Jung, Yeoul</t>
  </si>
  <si>
    <t>Junghan, Bernice</t>
  </si>
  <si>
    <t>KAMINSKY, JIJI</t>
  </si>
  <si>
    <t>KANG, MINJUNG  "Emily"</t>
  </si>
  <si>
    <t>KANG, SHIN   JO</t>
  </si>
  <si>
    <t>KI, JEONG SIM "Jasmine"</t>
  </si>
  <si>
    <t>Kim, Heenam</t>
  </si>
  <si>
    <t>Kim, Heesu</t>
  </si>
  <si>
    <t>Kim, Hyun Jung</t>
  </si>
  <si>
    <t>Kim, Inkyeong</t>
  </si>
  <si>
    <t>Kim, isabelle Sunhyea</t>
  </si>
  <si>
    <t>KIM, JI YOON</t>
  </si>
  <si>
    <t>KIM, KYUNG AE</t>
  </si>
  <si>
    <t>Kim, Kyung Sook</t>
  </si>
  <si>
    <t>Kim, Kyunghee</t>
  </si>
  <si>
    <t>Kim, Mi Suk</t>
  </si>
  <si>
    <t>Kim, Minji</t>
  </si>
  <si>
    <t>Kim, Siyoung</t>
  </si>
  <si>
    <t>KIM, SOOK YOUNG</t>
  </si>
  <si>
    <t>Kim, Won Hee</t>
  </si>
  <si>
    <t>Kim, Youn Hee</t>
  </si>
  <si>
    <t>Kim, Young Lan</t>
  </si>
  <si>
    <t>Kono, Satoko</t>
  </si>
  <si>
    <t>Kua, Rolebeth</t>
  </si>
  <si>
    <t>Kwen, Jin Kyung</t>
  </si>
  <si>
    <t>Kwon, YuJIn</t>
  </si>
  <si>
    <t>LACBO, ABBY   GAIL</t>
  </si>
  <si>
    <t>Ladeza, Ma. Flordelis</t>
  </si>
  <si>
    <t>Lamorena, Leleen L.</t>
  </si>
  <si>
    <t>Lanuza, Elena Katelyn</t>
  </si>
  <si>
    <t>LAPID, ABIGAIL</t>
  </si>
  <si>
    <t>Laurel, Gloriana Elizabeth</t>
  </si>
  <si>
    <t>Laurel, Shantelle Gabrielle A.</t>
  </si>
  <si>
    <t>LEE, AIJA CHUN</t>
  </si>
  <si>
    <t>Lee, Anna</t>
  </si>
  <si>
    <t>Lee, Eun Jung</t>
  </si>
  <si>
    <t>LEE, EUNHEE "Laura"</t>
  </si>
  <si>
    <t>Lee, Gyusuk</t>
  </si>
  <si>
    <t>LEE, HEE JUNG</t>
  </si>
  <si>
    <t>Lee, Hee kyoung</t>
  </si>
  <si>
    <t>Lee, Hye Jun</t>
  </si>
  <si>
    <t>LEE, IN SUK LIM</t>
  </si>
  <si>
    <t>LEE, JEOMJA LIM</t>
  </si>
  <si>
    <t>Lee, Jiyoung</t>
  </si>
  <si>
    <t>LEE, MARIA THERESE P.</t>
  </si>
  <si>
    <t>LEE, MI YOUNG</t>
  </si>
  <si>
    <t>Lee, Minji</t>
  </si>
  <si>
    <t>LEE, SANGWON</t>
  </si>
  <si>
    <t>Lee, Shu-Min (Kristy)</t>
  </si>
  <si>
    <t>Lee, Suhyang</t>
  </si>
  <si>
    <t>Lee, Yeeun</t>
  </si>
  <si>
    <t>Lee, Yeon Jung</t>
  </si>
  <si>
    <t>Lee, Yoonhi</t>
  </si>
  <si>
    <t>Lee, Young A</t>
  </si>
  <si>
    <t>Lee, Yujin</t>
  </si>
  <si>
    <t>Liganor, Katrina Anne</t>
  </si>
  <si>
    <t>Ligot, Alaina Yan</t>
  </si>
  <si>
    <t>Ligot, Stephanie Yan</t>
  </si>
  <si>
    <t>Lim Dy, Marie Fe</t>
  </si>
  <si>
    <t>Lim, Jessica</t>
  </si>
  <si>
    <t>LIM, Judy</t>
  </si>
  <si>
    <t>Lim, Steffi Nell</t>
  </si>
  <si>
    <t>Lim, Yoon Young</t>
  </si>
  <si>
    <t>Llamas, Martha Alia</t>
  </si>
  <si>
    <t>Lopez, Alyanna Marie Y.</t>
  </si>
  <si>
    <t>Lugay, Rose Anne</t>
  </si>
  <si>
    <t>MA, JU HYOUNG</t>
  </si>
  <si>
    <t>Macaranas, Danielle Alexandra D.</t>
  </si>
  <si>
    <t>Macaranas, Ma. Erica</t>
  </si>
  <si>
    <t>Macasaet, Carolina Bianca</t>
  </si>
  <si>
    <t>Macasaet, Maria Carolina</t>
  </si>
  <si>
    <t>Malla, Candhyss</t>
  </si>
  <si>
    <t>Manalo, Margarita Sofia</t>
  </si>
  <si>
    <t>Manaoat, Lorena T.</t>
  </si>
  <si>
    <t>Manese, Angela Theodosia Maria</t>
  </si>
  <si>
    <t>Mangubat, Aerianne</t>
  </si>
  <si>
    <t>MANTOLINO, Ma. Rosario Santos</t>
  </si>
  <si>
    <t>MAPALAD, LOURDES GRACE</t>
  </si>
  <si>
    <t>Mapua, Dorothy</t>
  </si>
  <si>
    <t>MASSELIN, SUMALEE I</t>
  </si>
  <si>
    <t>Medina, Clarisse Charity</t>
  </si>
  <si>
    <t>Melo, Bianca Therese</t>
  </si>
  <si>
    <t>Melrose, Josephine</t>
  </si>
  <si>
    <t>Mendoza, Adriana Gabrielle</t>
  </si>
  <si>
    <t>MENDOZA, Ana Luisa (ui)</t>
  </si>
  <si>
    <t>Mendoza, Cheryll Len</t>
  </si>
  <si>
    <t>MENDOZA, MA.   ELIZABETH   "BETCHAY"   R.</t>
  </si>
  <si>
    <t>MIN, JONG   SOON</t>
  </si>
  <si>
    <t>MONTALBANO, MILAGROS</t>
  </si>
  <si>
    <t>MOON, ETHEL</t>
  </si>
  <si>
    <t>MORILLO, Bernette</t>
  </si>
  <si>
    <t>Muelder, Dominica</t>
  </si>
  <si>
    <t>NAM, SU HYUN</t>
  </si>
  <si>
    <t>NANEA, MARVIE ROSE</t>
  </si>
  <si>
    <t>Narvaez, Jennifer Paula</t>
  </si>
  <si>
    <t>Nato, Ivy</t>
  </si>
  <si>
    <t>Navalta, Angelita</t>
  </si>
  <si>
    <t>Navarro, Alma Jocelyn</t>
  </si>
  <si>
    <t>Ngo, Rhianne Caylee P.</t>
  </si>
  <si>
    <t>Nicdao, Kaila Charlene</t>
  </si>
  <si>
    <t>Nicdao, Noelle Alexi</t>
  </si>
  <si>
    <t>Nuyda, Ayni</t>
  </si>
  <si>
    <t>OBRERO, CRISTINA</t>
  </si>
  <si>
    <t>Ocampo, Jane</t>
  </si>
  <si>
    <t>Ocampo, Janeyfer Alexis</t>
  </si>
  <si>
    <t>Oh, Hyonah</t>
  </si>
  <si>
    <t>Ong, Jennifer</t>
  </si>
  <si>
    <t>Ong, Naima</t>
  </si>
  <si>
    <t>OPOSA, Rizalina "Greely"</t>
  </si>
  <si>
    <t>Pablo, Helena Beatrice</t>
  </si>
  <si>
    <t>Pablo, Laura Idith</t>
  </si>
  <si>
    <t>PACKING, MICHELLE THERESE</t>
  </si>
  <si>
    <t>Pacpaco, Mirla</t>
  </si>
  <si>
    <t>Palapal, Janet L.</t>
  </si>
  <si>
    <t>PARK, HEE DONG</t>
  </si>
  <si>
    <t>PARK, HYEON JEONG</t>
  </si>
  <si>
    <t>Park, Princess Joy M.</t>
  </si>
  <si>
    <t>PARK, SUJIN</t>
  </si>
  <si>
    <t>Park, Yeunsil</t>
  </si>
  <si>
    <t>Pastrana, Bianca Ysabelle</t>
  </si>
  <si>
    <t>Patricio, Ellis Suezan</t>
  </si>
  <si>
    <t>PATRICIO, LEONILA L</t>
  </si>
  <si>
    <t>Paulino, Erika B.</t>
  </si>
  <si>
    <t>PECHERA, IMELDA F</t>
  </si>
  <si>
    <t>PENEYRA, MICHELLE Y</t>
  </si>
  <si>
    <t>Peng, Fei</t>
  </si>
  <si>
    <t>PIZARRO, JACQUELINE MARIE</t>
  </si>
  <si>
    <t>Pizarro, Maria Pamela B.</t>
  </si>
  <si>
    <t>Plumley, Maria Gianina Dita</t>
  </si>
  <si>
    <t>Pobeda, Eriane Zayana</t>
  </si>
  <si>
    <t>POPP, Christine</t>
  </si>
  <si>
    <t>PORCIUNCULA, WILMARI HERSHEYL</t>
  </si>
  <si>
    <t>Purvis, Anna Liza</t>
  </si>
  <si>
    <t>Quebral, Maria Elena</t>
  </si>
  <si>
    <t>QUEROL, MARAH VICTORIA</t>
  </si>
  <si>
    <t>QUILACIO, ROSEMARIE</t>
  </si>
  <si>
    <t>QUIMBO, DAHLIA</t>
  </si>
  <si>
    <t>Quimbo, Denice Ruiza</t>
  </si>
  <si>
    <t>Quinn, Lanie</t>
  </si>
  <si>
    <t>RAMOS, CAROL</t>
  </si>
  <si>
    <t>RAO, LILAN</t>
  </si>
  <si>
    <t>REYES, MARIA CECILIA</t>
  </si>
  <si>
    <t>Rho, Jeongsoon</t>
  </si>
  <si>
    <t>RHYOO, JIN SOOK</t>
  </si>
  <si>
    <t>ROBLES, LIBERTY</t>
  </si>
  <si>
    <t>Rodriguez, Carmela N.</t>
  </si>
  <si>
    <t>ROH, KYUNG AE</t>
  </si>
  <si>
    <t>ROMANO, MARISSA A</t>
  </si>
  <si>
    <t>SADIUA, GEMMA</t>
  </si>
  <si>
    <t>Salvador, Charmaine</t>
  </si>
  <si>
    <t>Samson, Anne Canlas</t>
  </si>
  <si>
    <t>Samson, Lyka</t>
  </si>
  <si>
    <t>SAN JOSE, BETH C</t>
  </si>
  <si>
    <t>Santos, Regine</t>
  </si>
  <si>
    <t>Santos, Vedalyn</t>
  </si>
  <si>
    <t>Seo, Wonhee</t>
  </si>
  <si>
    <t>Servida, Olivia</t>
  </si>
  <si>
    <t>Shin, Juhee</t>
  </si>
  <si>
    <t>SIAPUATCO, Ma. MERCEDITAS</t>
  </si>
  <si>
    <t>SY, ELOISA</t>
  </si>
  <si>
    <t>Syjuco, Ivy Diane</t>
  </si>
  <si>
    <t>Tabios, Alyssa Marie</t>
  </si>
  <si>
    <t>Tamayo, Julia Pauline</t>
  </si>
  <si>
    <t>Tan, Anna Marie</t>
  </si>
  <si>
    <t>Tan, Janna Kathly</t>
  </si>
  <si>
    <t>Tan, Jolie Ross</t>
  </si>
  <si>
    <t>Tan, Shane Keira</t>
  </si>
  <si>
    <t>TATSUMI, Irene</t>
  </si>
  <si>
    <t>Tengco, Gabrielle Silvestre</t>
  </si>
  <si>
    <t>Teves, Virginia</t>
  </si>
  <si>
    <t>TIAMSON, Mary Rose S.</t>
  </si>
  <si>
    <t>Tolentino, Emylin</t>
  </si>
  <si>
    <t>Trinidad, Chloe Ysabelle</t>
  </si>
  <si>
    <t>Tsang, Josephine Chua</t>
  </si>
  <si>
    <t>Tuason, Jose Diego</t>
  </si>
  <si>
    <t>Umali, Sheila</t>
  </si>
  <si>
    <t>UY, KIM RAISA Ong</t>
  </si>
  <si>
    <t>Uy, Kriselle Grace V.</t>
  </si>
  <si>
    <t>VALERO, Ma. LOURDES C</t>
  </si>
  <si>
    <t>VALLE, Maria Stella</t>
  </si>
  <si>
    <t>Van Gemert, Kylie Xzandra</t>
  </si>
  <si>
    <t>VARUA, MARIA MARLENE</t>
  </si>
  <si>
    <t>Veneracion, Margarita Isabelle</t>
  </si>
  <si>
    <t>VERAR, LANIE</t>
  </si>
  <si>
    <t>VICTA, MARIA FATIMA</t>
  </si>
  <si>
    <t>Victa, Maria Jose</t>
  </si>
  <si>
    <t>VISAYA, HELGA RIZZA</t>
  </si>
  <si>
    <t>Weidmann, Lucky Charity</t>
  </si>
  <si>
    <t>WI, SUNGSOON</t>
  </si>
  <si>
    <t>WILSON, CERILA MARITES</t>
  </si>
  <si>
    <t>WONG, BERNADETTE</t>
  </si>
  <si>
    <t>Wong, Lauren</t>
  </si>
  <si>
    <t>Woo, Grace C.</t>
  </si>
  <si>
    <t>Yamaguchi, Sheila</t>
  </si>
  <si>
    <t>Yambao, Maria Mikayla Avelina "Mika"</t>
  </si>
  <si>
    <t>Yambao, Mary Sherry Grace V.</t>
  </si>
  <si>
    <t>Yang, Hyunah</t>
  </si>
  <si>
    <t>Yang, Joo Hyun</t>
  </si>
  <si>
    <t>Yao, Mayumi</t>
  </si>
  <si>
    <t>YAW, CANDICE</t>
  </si>
  <si>
    <t>YOSHINO, EULALIA</t>
  </si>
  <si>
    <t>Yu, Jeannine Claire</t>
  </si>
  <si>
    <t>YU, MARISSA</t>
  </si>
  <si>
    <t>Yu, Michelle Ong</t>
  </si>
  <si>
    <t>Yulo L., Arvi Corazon</t>
  </si>
  <si>
    <t>Yulo, Teresa Kekoa</t>
  </si>
  <si>
    <t>Zamuco, Olivia O</t>
  </si>
  <si>
    <t>Zhang, YuanYun</t>
  </si>
  <si>
    <t>Ziga, Carmen Mayumi</t>
  </si>
  <si>
    <t>ZUNIEGA, LEANNE-THERESE L.</t>
  </si>
  <si>
    <t>MEMBER HANDICAP LISTING (MEN)</t>
  </si>
  <si>
    <t>GOLD</t>
  </si>
  <si>
    <t>BLUE</t>
  </si>
  <si>
    <t>SILVER</t>
  </si>
  <si>
    <t>ABALA, DONEL C</t>
  </si>
  <si>
    <t>ABANILLA, VIRGILIO</t>
  </si>
  <si>
    <t>Abcede Jr., Dennis</t>
  </si>
  <si>
    <t>ABDON, CIPRIANO "RYAN" P.</t>
  </si>
  <si>
    <t>ABELLERA, ZARDI MELITO D</t>
  </si>
  <si>
    <t>ABESAMIS, EDGARDO Q.</t>
  </si>
  <si>
    <t>ABING, Rolito</t>
  </si>
  <si>
    <t>Adams, William Martin</t>
  </si>
  <si>
    <t>Adorable, Benedicto Luz</t>
  </si>
  <si>
    <t>ADRIANO, MAGLEO V</t>
  </si>
  <si>
    <t>Africa, Franco</t>
  </si>
  <si>
    <t>Agamata, Abraham</t>
  </si>
  <si>
    <t>Aglipay, Maximo Guillermo</t>
  </si>
  <si>
    <t>AGONCILLO, MARIANO S</t>
  </si>
  <si>
    <t>Aguila, Jaime</t>
  </si>
  <si>
    <t>Aguirre, Edgardo T.</t>
  </si>
  <si>
    <t>AGUSTIN JR., JOHN PAUL</t>
  </si>
  <si>
    <t>Agustin, Carlos Francisco</t>
  </si>
  <si>
    <t>AGUSTIN, JOHN PAUL D</t>
  </si>
  <si>
    <t>AHN, JAE YOUNG</t>
  </si>
  <si>
    <t>AIYER, SHRIDHAR</t>
  </si>
  <si>
    <t>ALABASTRO, JAIME LORENZO NAVARRO</t>
  </si>
  <si>
    <t>Alabastro, John Edward</t>
  </si>
  <si>
    <t>Alacbay, Robert A.</t>
  </si>
  <si>
    <t>ALAS, DANILO "DONNIES" T.</t>
  </si>
  <si>
    <t>Albotra, Michael</t>
  </si>
  <si>
    <t>ALCANTARA, EMMANUEL BOYET R.</t>
  </si>
  <si>
    <t>ALCAZAR, Joseph "Jojit"</t>
  </si>
  <si>
    <t>ALEJANDRO, CARLOS M</t>
  </si>
  <si>
    <t>ALFILER, FELIX ENRICO R.</t>
  </si>
  <si>
    <t>Alido, Andres Mateo</t>
  </si>
  <si>
    <t>ALIDO, FRANKLIN C.</t>
  </si>
  <si>
    <t>ALIPAO, ALBERT</t>
  </si>
  <si>
    <t>ALLAM, Marion P</t>
  </si>
  <si>
    <t>Almalvez, Arcangel</t>
  </si>
  <si>
    <t>ALTAREJOS JR, CAESAR</t>
  </si>
  <si>
    <t>ALVAREZ, DENNIS D.</t>
  </si>
  <si>
    <t>Amante, Eric Jason</t>
  </si>
  <si>
    <t>AMAR, ADELIO</t>
  </si>
  <si>
    <t>AMAR, AMELITO A</t>
  </si>
  <si>
    <t>AMEJANA, EDWIN G</t>
  </si>
  <si>
    <t>AMOROSO, EDMON</t>
  </si>
  <si>
    <t>AMUAN, CEDRIC JOSEF G</t>
  </si>
  <si>
    <t>AMUAN, JESTYN JOSEF G</t>
  </si>
  <si>
    <t>ANAMIRTHAM, CHANDRAMOGAN Chandra</t>
  </si>
  <si>
    <t>Anastacio, Brix</t>
  </si>
  <si>
    <t>Anastacio, Gabriel O.</t>
  </si>
  <si>
    <t>Anastacio, Larry</t>
  </si>
  <si>
    <t>ANASTACIO, RANDY LUIS B.</t>
  </si>
  <si>
    <t>ANCHETA, ROMEO A</t>
  </si>
  <si>
    <t>Ando, Masaaki</t>
  </si>
  <si>
    <t>ANDRADE, VIRGILIO JUNIE C</t>
  </si>
  <si>
    <t>ANG, Anthony</t>
  </si>
  <si>
    <t>ANG, CALEB M</t>
  </si>
  <si>
    <t>ANG, CHING TAY O</t>
  </si>
  <si>
    <t>ANG, EDWIN C</t>
  </si>
  <si>
    <t>ANG, HENRY GAN</t>
  </si>
  <si>
    <t>ANG, HENRY L</t>
  </si>
  <si>
    <t>Ang, Kenneth</t>
  </si>
  <si>
    <t>Ang, Matthew Oliver</t>
  </si>
  <si>
    <t>ANG, OLIVER C</t>
  </si>
  <si>
    <t>Ang, Sherwin</t>
  </si>
  <si>
    <t>ANG, WINSTON C</t>
  </si>
  <si>
    <t>ANGELES JR, EDGARDO</t>
  </si>
  <si>
    <t>Angeles, Diego Quintin</t>
  </si>
  <si>
    <t>ANSELMO, MANUEL N</t>
  </si>
  <si>
    <t>Ante, Rafael Magic Sinsoa</t>
  </si>
  <si>
    <t>Ante, Rafaello Yuan</t>
  </si>
  <si>
    <t>ANTE, RALPH A.</t>
  </si>
  <si>
    <t>Ante, Thomas Enzo</t>
  </si>
  <si>
    <t>ANTONIO JR., ALFREDO SIXTO E.</t>
  </si>
  <si>
    <t>ANTONIO, MANUEL LUIS C</t>
  </si>
  <si>
    <t>ANTONIO, RICARDO U</t>
  </si>
  <si>
    <t>ANTONIO, ROLDAN</t>
  </si>
  <si>
    <t>AOKI, KAN</t>
  </si>
  <si>
    <t>Aquende, Hardy B.</t>
  </si>
  <si>
    <t>AQUINO II, AURELIO ROMMEL C</t>
  </si>
  <si>
    <t>AQUINO IV, SERAFIN F</t>
  </si>
  <si>
    <t>AQUINO, ANGELO MIGUEL A.</t>
  </si>
  <si>
    <t>AQUINO, JONATHAN C</t>
  </si>
  <si>
    <t>Aquino, Roland</t>
  </si>
  <si>
    <t>Araneta Jr., Mariano</t>
  </si>
  <si>
    <t>Aranton, Robert Lester F.</t>
  </si>
  <si>
    <t>ARCAIRA, JOSEPH</t>
  </si>
  <si>
    <t>ARCEO, EDGAR JOSELITO Jun S</t>
  </si>
  <si>
    <t>ARCEO, Edwin</t>
  </si>
  <si>
    <t>Arceo, Rafael Enrico</t>
  </si>
  <si>
    <t>Arceo, Ryan David L.</t>
  </si>
  <si>
    <t>ARCILLA, GILBERT C</t>
  </si>
  <si>
    <t>ARIZA, ALEXANDER</t>
  </si>
  <si>
    <t>ARKONCEL, RONALDO VALENTIN C</t>
  </si>
  <si>
    <t>Arona, Juanito</t>
  </si>
  <si>
    <t>ARREZA JR., AUGUSTO Yparraguirre</t>
  </si>
  <si>
    <t>ASAI, TERUMASA</t>
  </si>
  <si>
    <t>Asban, Michael</t>
  </si>
  <si>
    <t>ASTEJADA, DAVID</t>
  </si>
  <si>
    <t>ASTEJADA, DENNIS</t>
  </si>
  <si>
    <t>ASUNCION JR, Teofilo "Ted" D</t>
  </si>
  <si>
    <t>ATAYDE, RAMON R</t>
  </si>
  <si>
    <t>Austria, Akeo Zigen</t>
  </si>
  <si>
    <t>Austria, Aniqo Liam</t>
  </si>
  <si>
    <t>Austria, Arkin Xylo</t>
  </si>
  <si>
    <t>AVANTE, ROLANDO</t>
  </si>
  <si>
    <t>AYROSO, EDISON C</t>
  </si>
  <si>
    <t>AZURIN, DANTE</t>
  </si>
  <si>
    <t>BACHOCO, ROMEO</t>
  </si>
  <si>
    <t>BACK, NAK-SEUNG</t>
  </si>
  <si>
    <t>Bakunawa, Gio Lorenzo</t>
  </si>
  <si>
    <t>BAKUNAWA, JUDE R</t>
  </si>
  <si>
    <t>BALAGUER, RAMON P</t>
  </si>
  <si>
    <t>Balanday, Wilfredo Dela Cruz</t>
  </si>
  <si>
    <t>Balayan, Earl Audric</t>
  </si>
  <si>
    <t>BALAYAN, MELANIO ELVIS M.</t>
  </si>
  <si>
    <t>Baligod Jr., Jose Marie</t>
  </si>
  <si>
    <t>Balinggao, Joseph</t>
  </si>
  <si>
    <t>BALTAZAR, SAMUEL D</t>
  </si>
  <si>
    <t>BALUYUT, ADONES   T.</t>
  </si>
  <si>
    <t>Banaag, Edgardo Martin</t>
  </si>
  <si>
    <t>Banday, Gualberto</t>
  </si>
  <si>
    <t>BANIEL, BEN F</t>
  </si>
  <si>
    <t>BANTILING, JOSE P</t>
  </si>
  <si>
    <t>BARAYANG, LIO L</t>
  </si>
  <si>
    <t>BARBA, ROWEL S</t>
  </si>
  <si>
    <t>BARBON, BERNARDO D</t>
  </si>
  <si>
    <t>BARILEA, DWIGHT J</t>
  </si>
  <si>
    <t>BARLIS, ARMAND B</t>
  </si>
  <si>
    <t>BARLIS, HUBERT ARGANA</t>
  </si>
  <si>
    <t>BARON, FELICIANO B. (jon)</t>
  </si>
  <si>
    <t>Baron, Jalen Cline</t>
  </si>
  <si>
    <t>BAROY, RICO O</t>
  </si>
  <si>
    <t>Barrameda, Leoncio Joel M.</t>
  </si>
  <si>
    <t>BARRANDA, EDMUNDO BOY E</t>
  </si>
  <si>
    <t>BARRANDA, VICTOR E</t>
  </si>
  <si>
    <t>BASA, GENE ANTHONY C</t>
  </si>
  <si>
    <t>BASBAS, ALDEN CHRISTIAN</t>
  </si>
  <si>
    <t>BASBAS, ALDEN JOSHUA</t>
  </si>
  <si>
    <t>BASILIO, Francisco A.</t>
  </si>
  <si>
    <t>Bato, Romeo</t>
  </si>
  <si>
    <t>BAUTISTA JR., PONCIANO C</t>
  </si>
  <si>
    <t>BAUTISTA, CARLO L</t>
  </si>
  <si>
    <t>BAUTISTA, DIOSDADO (dioey)</t>
  </si>
  <si>
    <t>BAUTISTA, EBERT T</t>
  </si>
  <si>
    <t>BAUTISTA, EMMANUEL   B.</t>
  </si>
  <si>
    <t>BAUTISTA, FRANCIS NOEL S</t>
  </si>
  <si>
    <t>BAUTISTA, MANOLITO T</t>
  </si>
  <si>
    <t>BAUTISTA, Vicente Maria</t>
  </si>
  <si>
    <t>BAUTISTA, VICTOR M</t>
  </si>
  <si>
    <t>Bayona, Dwight Henry</t>
  </si>
  <si>
    <t>BELIZARIO, MICHAEL JONATHAN</t>
  </si>
  <si>
    <t>BELVIS, MARLOU</t>
  </si>
  <si>
    <t>BENEDICTO, JOSE GABRIEL R</t>
  </si>
  <si>
    <t>BENIDY, GEORGE T</t>
  </si>
  <si>
    <t>Benitez, Marco Alfredo M.</t>
  </si>
  <si>
    <t>BENITEZ, TOMAS JULIO "TJ" A</t>
  </si>
  <si>
    <t>Benzon, Frederick R.</t>
  </si>
  <si>
    <t>BERBA, PHILIP L</t>
  </si>
  <si>
    <t>BERMUDEZ, Edwin S.</t>
  </si>
  <si>
    <t>Bernardino, Carlo Felicito</t>
  </si>
  <si>
    <t>BERNARDINO, MARVIN PATRICK A.</t>
  </si>
  <si>
    <t>Bicol, Ralph Allan</t>
  </si>
  <si>
    <t>Bicomong, Enrico Byron Gerard</t>
  </si>
  <si>
    <t>Billones, William</t>
  </si>
  <si>
    <t>BLANCO, MANUEL DINDO B</t>
  </si>
  <si>
    <t>Bocobo, Patrick Joseph S</t>
  </si>
  <si>
    <t>Bolano, Henry</t>
  </si>
  <si>
    <t>BOLANO, MICHAEL RAY BOMBASE</t>
  </si>
  <si>
    <t>Bonifacio, Jules Miguel</t>
  </si>
  <si>
    <t>BORBE, KOC SUAN S</t>
  </si>
  <si>
    <t>BORBE, MICHAEL L</t>
  </si>
  <si>
    <t>Borja, Jose Maria G.</t>
  </si>
  <si>
    <t>Borja, Jose Miguel</t>
  </si>
  <si>
    <t>Borlaza, Aldric</t>
  </si>
  <si>
    <t>BORROMEO JR., HORACIO</t>
  </si>
  <si>
    <t>BORROMEO, FREDERICK</t>
  </si>
  <si>
    <t>Borromeo, Luis Marco</t>
  </si>
  <si>
    <t>BORROMEO, MAX FRANCISCO O</t>
  </si>
  <si>
    <t>BUENAVENTURA, GIL C</t>
  </si>
  <si>
    <t>BUHAIN, BIENVENIDO J</t>
  </si>
  <si>
    <t>BUHAIN, MARIO D</t>
  </si>
  <si>
    <t>Buhain, Ramiro P.</t>
  </si>
  <si>
    <t>BUHAY, CESAR P</t>
  </si>
  <si>
    <t>Bulawit, Johnel R.</t>
  </si>
  <si>
    <t>BUNYI, NELSON C</t>
  </si>
  <si>
    <t>BURGOS, FRANCISCO GIL ERWIN "WYNE" P</t>
  </si>
  <si>
    <t>BUSTAMANTE, MICHAEL MIKE C</t>
  </si>
  <si>
    <t>CABALU, JESUS "BUTCH" Q.</t>
  </si>
  <si>
    <t>Cabilao, John Paul</t>
  </si>
  <si>
    <t>CABOTEJA, Efren</t>
  </si>
  <si>
    <t>CADIENA, JOSE NOEL LACSON</t>
  </si>
  <si>
    <t>Cagalingan, Mark Anthony</t>
  </si>
  <si>
    <t>CAGARA, ABEL C.</t>
  </si>
  <si>
    <t>CAGIÃ‘GIN, LAMBERTO J</t>
  </si>
  <si>
    <t>CAI, JIAN CHENG EDWARD</t>
  </si>
  <si>
    <t>CAI, JIAN MING BEN</t>
  </si>
  <si>
    <t>CAI, ZHAORONG L</t>
  </si>
  <si>
    <t>CAJA, THOMAS ROGENRIC J</t>
  </si>
  <si>
    <t>Calica, Dan</t>
  </si>
  <si>
    <t>CALMA, RENATO G</t>
  </si>
  <si>
    <t>CALPO, REYNALDO J</t>
  </si>
  <si>
    <t>CALUBAQUIB, ERIBERTO R.</t>
  </si>
  <si>
    <t>CAMBALIZA, ROMULO P</t>
  </si>
  <si>
    <t>Campos, Enrique</t>
  </si>
  <si>
    <t>Cancio, Francisco V</t>
  </si>
  <si>
    <t>CANCIO, RAYMUNDO V</t>
  </si>
  <si>
    <t>CANIVEL, DIEGO EMILIO A</t>
  </si>
  <si>
    <t>Canivel, Eduardo Ambrosio Vicente Paulo</t>
  </si>
  <si>
    <t>CANIVEL, EMMANUEL Q</t>
  </si>
  <si>
    <t>Cantimbuhan, Arnel</t>
  </si>
  <si>
    <t>Cantimbuhan, Lawrence Gio</t>
  </si>
  <si>
    <t>CANTIMBUHAN, RECTO</t>
  </si>
  <si>
    <t>CAPARAS, FLORENCIO</t>
  </si>
  <si>
    <t>CAPARROS, Marvin</t>
  </si>
  <si>
    <t>CAPISTRANO, MARC R</t>
  </si>
  <si>
    <t>Capistrano, Michael Paolo</t>
  </si>
  <si>
    <t>Caraig, Cesar</t>
  </si>
  <si>
    <t>Caraig, Czar Leon L.</t>
  </si>
  <si>
    <t>Carbonell, Richard</t>
  </si>
  <si>
    <t>CAREY JR., WILLIAM Bill</t>
  </si>
  <si>
    <t>CARLOS, FRANCIS C</t>
  </si>
  <si>
    <t>CARLOS, MELVIN</t>
  </si>
  <si>
    <t>CARLOS, RENATO</t>
  </si>
  <si>
    <t>CARMONA JR., ROBERTO</t>
  </si>
  <si>
    <t>CARREON, Crispin Y.</t>
  </si>
  <si>
    <t>Carreon, Dustin</t>
  </si>
  <si>
    <t>Carreon, Kevin Christian</t>
  </si>
  <si>
    <t>CARRION, JUAN RAMON P</t>
  </si>
  <si>
    <t>CASARES, EDUARDO S.</t>
  </si>
  <si>
    <t>CASAS, JOHN VICTOR</t>
  </si>
  <si>
    <t>Casas, Miguel Victor</t>
  </si>
  <si>
    <t>CASEM, JUAN CARLO</t>
  </si>
  <si>
    <t>Casipe, Jose Marvin</t>
  </si>
  <si>
    <t>CASQUEJO, REGIS KRISTIAN P</t>
  </si>
  <si>
    <t>CASQUEJO, RIANE KRISTER P</t>
  </si>
  <si>
    <t>CASQUEJO, RODERIC T</t>
  </si>
  <si>
    <t>CastaÃ±eda, Laurence NiÃ±o</t>
  </si>
  <si>
    <t>CASTELO, VICENTE FROILAN</t>
  </si>
  <si>
    <t>CASTILLO, Jessie B.</t>
  </si>
  <si>
    <t>CASTILLO, LEONIDO C</t>
  </si>
  <si>
    <t>CASTRILLO, Jose Paulo</t>
  </si>
  <si>
    <t>Castrillo, Rafael</t>
  </si>
  <si>
    <t>CASTRO, CARLO S</t>
  </si>
  <si>
    <t>Castro, Jose Antonio</t>
  </si>
  <si>
    <t>CASTRO, ROBERT</t>
  </si>
  <si>
    <t>CASTRO, RONALD RICHARD RORY</t>
  </si>
  <si>
    <t>CASTRO, ZACHARY O</t>
  </si>
  <si>
    <t>CATINDIG, TRISTAN A</t>
  </si>
  <si>
    <t>Catral Jr., Jose</t>
  </si>
  <si>
    <t>Cayabyab, Dar Andrew</t>
  </si>
  <si>
    <t>CAYANGA, EFRENILO M</t>
  </si>
  <si>
    <t>CEBEDO, CHARLES LEONARD A</t>
  </si>
  <si>
    <t>Cebrian, Roy</t>
  </si>
  <si>
    <t>CERVANTES JR, HERMAN</t>
  </si>
  <si>
    <t>CERVANTES JR., JOSE N</t>
  </si>
  <si>
    <t>CERVANTES, ANTHONY JAMES "Jon"</t>
  </si>
  <si>
    <t>CERVANTES, JONATHAN M</t>
  </si>
  <si>
    <t>CERVANTES, MAURO</t>
  </si>
  <si>
    <t>Chae, Heedo</t>
  </si>
  <si>
    <t>Chae, Yuha</t>
  </si>
  <si>
    <t>CHAN, CLEMENTE</t>
  </si>
  <si>
    <t>CHAN, DAVID CHRISTIAN</t>
  </si>
  <si>
    <t>CHAN, JORDAN LEWIS</t>
  </si>
  <si>
    <t>CHAN, JUDEO R.</t>
  </si>
  <si>
    <t>CHAN, LOUIS C Y A</t>
  </si>
  <si>
    <t>CHAN, RICARDO G</t>
  </si>
  <si>
    <t>CHAN, SIMON GERWIN LUCENARIO</t>
  </si>
  <si>
    <t>Chan, Tyronne James</t>
  </si>
  <si>
    <t>CHAN, WA YUNG</t>
  </si>
  <si>
    <t>CHANG, BENEDICT JOHN</t>
  </si>
  <si>
    <t>CHEN, CHIH-LAN Benny</t>
  </si>
  <si>
    <t>CHEN, SHOU-KANG BRYAN</t>
  </si>
  <si>
    <t>CHEN, TONY</t>
  </si>
  <si>
    <t>Chen, Yi Hong</t>
  </si>
  <si>
    <t>CHENG, ANSON</t>
  </si>
  <si>
    <t>CHENG, LAWRENCE L</t>
  </si>
  <si>
    <t>CHIAN, LAWRENCE</t>
  </si>
  <si>
    <t>Chiang, Long-Wen</t>
  </si>
  <si>
    <t>Ching, Adrian Dereck</t>
  </si>
  <si>
    <t>Choi, Eun Hyeok</t>
  </si>
  <si>
    <t>CHOI, JAEMIN</t>
  </si>
  <si>
    <t>CHOI, SEON HO</t>
  </si>
  <si>
    <t>CHOI, YONG SOO</t>
  </si>
  <si>
    <t>Choi, Yongnam</t>
  </si>
  <si>
    <t>CHONG, RALPH COLIN</t>
  </si>
  <si>
    <t>CHONG, ROMEO S</t>
  </si>
  <si>
    <t>CHU, AARON YU</t>
  </si>
  <si>
    <t>CHU, JEFFREY YANG</t>
  </si>
  <si>
    <t>CHU, PAOLO TRISTAN L.</t>
  </si>
  <si>
    <t>CHU, RYAN CHRISTOPHER L</t>
  </si>
  <si>
    <t>CHUA, AARON UY</t>
  </si>
  <si>
    <t>CHUA, ADAM NG</t>
  </si>
  <si>
    <t>CHUA, BARTON O</t>
  </si>
  <si>
    <t>CHUA, BEEJAY C</t>
  </si>
  <si>
    <t>CHUA, George</t>
  </si>
  <si>
    <t>CHUA, GEORGE ESTANISLAO</t>
  </si>
  <si>
    <t>CHUA, GEORGE LAO</t>
  </si>
  <si>
    <t>Chua, Jean Louis "Luigi"</t>
  </si>
  <si>
    <t>CHUA, JETHRO ANGELO M.</t>
  </si>
  <si>
    <t>CHUA, JIMMY SY</t>
  </si>
  <si>
    <t>CHUA, JOEVINCCHI L</t>
  </si>
  <si>
    <t>CHUA, John Ong</t>
  </si>
  <si>
    <t>CHUA, KWOK SUM</t>
  </si>
  <si>
    <t>Chua, Luis Alfonso</t>
  </si>
  <si>
    <t>CHUA, RALPH JERIC</t>
  </si>
  <si>
    <t>CHUA, RICHARD T</t>
  </si>
  <si>
    <t>Chua, Sam Richmond</t>
  </si>
  <si>
    <t>CHUA, STEPHEN TAN</t>
  </si>
  <si>
    <t>CHUA, Timothy</t>
  </si>
  <si>
    <t>CHUA, TOMAS YU</t>
  </si>
  <si>
    <t>CHUA, TREVOR JALEN</t>
  </si>
  <si>
    <t>Chuatoco, Jancsi Allen</t>
  </si>
  <si>
    <t>CHUN, SANG GOO</t>
  </si>
  <si>
    <t>CINCO, REGINALD</t>
  </si>
  <si>
    <t>CIRILOS, DOMINGO A</t>
  </si>
  <si>
    <t>CLEMENTE, TOM B</t>
  </si>
  <si>
    <t>CO, ERICKSON S</t>
  </si>
  <si>
    <t>CO, JEFFREY A.</t>
  </si>
  <si>
    <t>Co, Jeffrey James</t>
  </si>
  <si>
    <t>CO, JOHN D</t>
  </si>
  <si>
    <t>CO, JOSE LIM</t>
  </si>
  <si>
    <t>CO, JOSE NICOLAS E</t>
  </si>
  <si>
    <t>Co, Josh Tyler</t>
  </si>
  <si>
    <t>COBANKIAT, VENANCIO LIAO</t>
  </si>
  <si>
    <t>COCHING, Bayani</t>
  </si>
  <si>
    <t>COLONA, MARK ANGELO C</t>
  </si>
  <si>
    <t>Comanda, Manuel</t>
  </si>
  <si>
    <t>Concha, Alejandro Mainardo</t>
  </si>
  <si>
    <t>Concha, Jaime Alejandro C.</t>
  </si>
  <si>
    <t>CONDE, PHILIP ALEXANDER T</t>
  </si>
  <si>
    <t>COOJACINTO, JEFFREY</t>
  </si>
  <si>
    <t>Cook, Alan</t>
  </si>
  <si>
    <t>CORDOVES, JOSHUA BRYLLE</t>
  </si>
  <si>
    <t>CORONEL, ANTONIO G</t>
  </si>
  <si>
    <t>Correa, Hilary Luke</t>
  </si>
  <si>
    <t>Correa, Lauren Andretti</t>
  </si>
  <si>
    <t>Correa, Lucas Alessando</t>
  </si>
  <si>
    <t>CORRO, RAUL R</t>
  </si>
  <si>
    <t>Cosico, Lyndon</t>
  </si>
  <si>
    <t>Costes, Eddrian</t>
  </si>
  <si>
    <t>Costes, Eddrich</t>
  </si>
  <si>
    <t>Costes, Eddrick M.</t>
  </si>
  <si>
    <t>COSTES, EDWIN P</t>
  </si>
  <si>
    <t>CRAGG, THOMAS</t>
  </si>
  <si>
    <t>CRISOSTOMO JR., JOSE P</t>
  </si>
  <si>
    <t>CRISOSTOMO, JESUS JAY J</t>
  </si>
  <si>
    <t>CRISTOBAL, DEOGRACIAS L</t>
  </si>
  <si>
    <t>Cristobal, Deonne</t>
  </si>
  <si>
    <t>CRISTOBAL, RAMON C</t>
  </si>
  <si>
    <t>Cruel, Mario</t>
  </si>
  <si>
    <t>CRUZ, ALDEN CHRISTOPHER ROXAS</t>
  </si>
  <si>
    <t>Cruz, Juliann Blane</t>
  </si>
  <si>
    <t>CRUZ, MANOLO MICHAEL G</t>
  </si>
  <si>
    <t>CRUZADA, DANIEL D</t>
  </si>
  <si>
    <t>CU, JIMMY U</t>
  </si>
  <si>
    <t>Cu, Owen</t>
  </si>
  <si>
    <t>CUENCA JR., Arnaldo "Ado"</t>
  </si>
  <si>
    <t>Cuenca, David</t>
  </si>
  <si>
    <t>CURA, JOSE "PETE" A</t>
  </si>
  <si>
    <t>Custodio, Jin Christian</t>
  </si>
  <si>
    <t>DACUMOS, JUSTIN HARLEY SAN PEDRO</t>
  </si>
  <si>
    <t>DAEZ, RAMON ALEJANDRO P</t>
  </si>
  <si>
    <t>Dalluay, Melvin</t>
  </si>
  <si>
    <t>DAVID, RONNIE G</t>
  </si>
  <si>
    <t>DE ASIS, ARNULFO P</t>
  </si>
  <si>
    <t>DE CASTRO, RUBEN L</t>
  </si>
  <si>
    <t>DE CASTRO, Ruel</t>
  </si>
  <si>
    <t>DE GALA, FERDINAND O.</t>
  </si>
  <si>
    <t>De Gala, Gabriel Franco</t>
  </si>
  <si>
    <t>DE GUZMAN, EDUARDO A</t>
  </si>
  <si>
    <t>DE JESUS, ALBERTO ABET R.</t>
  </si>
  <si>
    <t>DE LEON JR., RAMON BENJAMIN Z</t>
  </si>
  <si>
    <t>DE LEON, EDWALD ALERIC WALLY</t>
  </si>
  <si>
    <t>DE LEON, MICHAEL JOHN B "KIT"</t>
  </si>
  <si>
    <t>DE LEON, MICHAEL STANLEY</t>
  </si>
  <si>
    <t>DE LEON, RAMON T</t>
  </si>
  <si>
    <t>De Leon, Ryan</t>
  </si>
  <si>
    <t>DE MESA, RAMIL R.</t>
  </si>
  <si>
    <t>DE OCAMPO, NESTOR M</t>
  </si>
  <si>
    <t>De Roxas, Ronald</t>
  </si>
  <si>
    <t>DE VERA JR., ALFREDO</t>
  </si>
  <si>
    <t>De Vera, Wilmerson</t>
  </si>
  <si>
    <t>De Villa, Ramil</t>
  </si>
  <si>
    <t>DECHOSA, ANTHONY F.</t>
  </si>
  <si>
    <t>DEL MUNDO, EDUARD REYES</t>
  </si>
  <si>
    <t>DEL PILAR, RAFAEL</t>
  </si>
  <si>
    <t>DEL ROSARIO, Eduardo</t>
  </si>
  <si>
    <t>DEL ROSARIO, JOSE MARLEO P.</t>
  </si>
  <si>
    <t>DEL ROSARIO, Manfred Samuel</t>
  </si>
  <si>
    <t>Del Rosario, Miguel Louis</t>
  </si>
  <si>
    <t>DEL ROSARIO, PACITO</t>
  </si>
  <si>
    <t>DELA   CRUZ, ERWIN   I.</t>
  </si>
  <si>
    <t>DELA CRUZ, DAVID M</t>
  </si>
  <si>
    <t>DELA CRUZ, HAROLD</t>
  </si>
  <si>
    <t>DELA CRUZ, Ian Tristan</t>
  </si>
  <si>
    <t>Dela Paz, Billy Jay</t>
  </si>
  <si>
    <t>DELA TORRE, KARL-RICHARD S.</t>
  </si>
  <si>
    <t>DELA TORRE, Kirk Richard</t>
  </si>
  <si>
    <t>DELAMARRE, RICHARD</t>
  </si>
  <si>
    <t>Delmo, Marx Nicholai</t>
  </si>
  <si>
    <t>Delo, Almario</t>
  </si>
  <si>
    <t>DELORITO, ADRIANO</t>
  </si>
  <si>
    <t>DELOS ANGELES, Antonio D.</t>
  </si>
  <si>
    <t>DELOS REYES, RICO D</t>
  </si>
  <si>
    <t>DELOS SANTOS, Kurt</t>
  </si>
  <si>
    <t>DELOS SANTOS, Mamerto B. (mer)</t>
  </si>
  <si>
    <t>Desiderio, Fernando Paulo</t>
  </si>
  <si>
    <t>Detabali, Dexter</t>
  </si>
  <si>
    <t>Detabali, Roland</t>
  </si>
  <si>
    <t>DICHAVES, JIMMY</t>
  </si>
  <si>
    <t>DIMACULANGAN, JAN DARRYL C.</t>
  </si>
  <si>
    <t>DIMAGIBA, DENNIS   G.</t>
  </si>
  <si>
    <t>DIMAUNAHAN, DELANO   A.</t>
  </si>
  <si>
    <t>DIMAUNAHAN, DERRICO   D.</t>
  </si>
  <si>
    <t>DIMAYUGA, ARTURO E.</t>
  </si>
  <si>
    <t>DINO, MARIO ROMMEL</t>
  </si>
  <si>
    <t>Dionisio, Dan Benedict</t>
  </si>
  <si>
    <t>DIONISIO, LEONARDO E</t>
  </si>
  <si>
    <t>Disini Jr, Jesus</t>
  </si>
  <si>
    <t>DIZON, "MARTE" TEODORO MA. P</t>
  </si>
  <si>
    <t>Dizon, Calvin Lucien</t>
  </si>
  <si>
    <t>Dizon, Christophe Liam</t>
  </si>
  <si>
    <t>Dizon, Christopher Jonathan</t>
  </si>
  <si>
    <t>DOCTOLERO, EDGAR T</t>
  </si>
  <si>
    <t>DOI, KOKI</t>
  </si>
  <si>
    <t>DOMINGO, JOEL D</t>
  </si>
  <si>
    <t>Domingo, Ramon Paulo</t>
  </si>
  <si>
    <t>DOMINGUEZ, ANTONIO JOSE S</t>
  </si>
  <si>
    <t>Dungo, Bradlee Zigfrid C.</t>
  </si>
  <si>
    <t>DY, ALEXANDER A</t>
  </si>
  <si>
    <t>DY, CHARLES   VINCENT</t>
  </si>
  <si>
    <t>DY, EROL G</t>
  </si>
  <si>
    <t>Dy, Michael</t>
  </si>
  <si>
    <t>EBOL, JONATHAN</t>
  </si>
  <si>
    <t>ELAZEGUI JR, THOMAS RODOLFO "GEORGE" R</t>
  </si>
  <si>
    <t>ENAJE, PATRICK</t>
  </si>
  <si>
    <t>Enriquez, John Franklin</t>
  </si>
  <si>
    <t>ENRIQUEZ, Roland Nolan</t>
  </si>
  <si>
    <t>Erb, Markus</t>
  </si>
  <si>
    <t>ERGUIZA JR., GERARDO   D.</t>
  </si>
  <si>
    <t>ESCUADRO, JOSE MARIA "JAYE" G.</t>
  </si>
  <si>
    <t>ESGUERRA, RAFAEL RODRIGO S</t>
  </si>
  <si>
    <t>ESGUERRA, RAMON S</t>
  </si>
  <si>
    <t>Espejo, John</t>
  </si>
  <si>
    <t>Espina, Edmund T.</t>
  </si>
  <si>
    <t>ESPINO, ALFREDO B</t>
  </si>
  <si>
    <t>ESPIRITU, GALICANO G.</t>
  </si>
  <si>
    <t>ESPIRITU, JAN GADIH P.</t>
  </si>
  <si>
    <t>ESPIRITU, JOSE AUDI</t>
  </si>
  <si>
    <t>ESPIRITU, LEO M.</t>
  </si>
  <si>
    <t>Espiritu, Yuan Gael</t>
  </si>
  <si>
    <t>ESPLANA, JOHN  CDR</t>
  </si>
  <si>
    <t>ESPLANA, JOSE P.</t>
  </si>
  <si>
    <t>Esplana, Juan Mario Luis</t>
  </si>
  <si>
    <t>ESTRADA, JOHN ANTHONY S.</t>
  </si>
  <si>
    <t>EUSEBIO, EDGARDO B</t>
  </si>
  <si>
    <t>Evangelista, Angel Michaelo</t>
  </si>
  <si>
    <t>Fabregas, Jose</t>
  </si>
  <si>
    <t>FADERA, JONATHAN H.</t>
  </si>
  <si>
    <t>FAMY, ERNILO P</t>
  </si>
  <si>
    <t>FARIN, GERARD GERRY P</t>
  </si>
  <si>
    <t>Faustino, Rance Emrick</t>
  </si>
  <si>
    <t>Faytaren, Perpetuo Payumo</t>
  </si>
  <si>
    <t>FELISMINO, Christian Francis</t>
  </si>
  <si>
    <t>FENIX, KIMPING T</t>
  </si>
  <si>
    <t>FERAER, ELADIO S</t>
  </si>
  <si>
    <t>FERNANDEZ JR., Jose "Jun"</t>
  </si>
  <si>
    <t>FERNANDEZ, CONRADO RENE D.</t>
  </si>
  <si>
    <t>Fernandez, Edric B.</t>
  </si>
  <si>
    <t>Fernandez, Jose Miguel "Iggy"</t>
  </si>
  <si>
    <t>FERNANDEZ, JULIO ENRIQUE  CALLEJO</t>
  </si>
  <si>
    <t>FERNANDEZ, MC JILL BRYANT</t>
  </si>
  <si>
    <t>FERNANDO, GODOFREDO M.</t>
  </si>
  <si>
    <t>Fernando, Laurence Mikhail</t>
  </si>
  <si>
    <t>Fernando, Ramon</t>
  </si>
  <si>
    <t>FERRER, SHERWIN B</t>
  </si>
  <si>
    <t>FERRER, STEVEN ANDREY M</t>
  </si>
  <si>
    <t>FERROLINO, Brendan R</t>
  </si>
  <si>
    <t>Figueroa, Peter Jonas</t>
  </si>
  <si>
    <t>FIGURA, FRANCISCO B.</t>
  </si>
  <si>
    <t>Fisher, Daniel</t>
  </si>
  <si>
    <t>FLORENTINO, VICENTE</t>
  </si>
  <si>
    <t>FLORES, DEXTER CO</t>
  </si>
  <si>
    <t>Fortuna, Castel Chale</t>
  </si>
  <si>
    <t>FORTUNA, CLODOVEO M</t>
  </si>
  <si>
    <t>Fortuna, Kyle Ranier</t>
  </si>
  <si>
    <t>Fortuna, Michael</t>
  </si>
  <si>
    <t>FRAGANTE III, VICENTE</t>
  </si>
  <si>
    <t>FRANCISCO, AARON RAYMUND R.</t>
  </si>
  <si>
    <t>Francisco, Enrique Lucas</t>
  </si>
  <si>
    <t>FRANCISCO, ROMEO A.</t>
  </si>
  <si>
    <t>FRANCO, EDGARDO ED S.</t>
  </si>
  <si>
    <t>FRANCO, REYNALDO P</t>
  </si>
  <si>
    <t>Frias, Jerome Bart M.</t>
  </si>
  <si>
    <t>FRIAS, ROMEL</t>
  </si>
  <si>
    <t>FUENTEZ JR., REYNALDO</t>
  </si>
  <si>
    <t>FUJII, KATSUHIRO</t>
  </si>
  <si>
    <t>Gabriel, Peter Barachiel</t>
  </si>
  <si>
    <t>GABUNA, JOMEL J.</t>
  </si>
  <si>
    <t>GADDI, BIENVENIDO S</t>
  </si>
  <si>
    <t>GALANG, REYNALDO CANLAS</t>
  </si>
  <si>
    <t>Galido, Ronin</t>
  </si>
  <si>
    <t>Galido, Roy</t>
  </si>
  <si>
    <t>Galvez, Peterson</t>
  </si>
  <si>
    <t>Galvez, Phil Carson</t>
  </si>
  <si>
    <t>GAMBOA, JOSE LUIS ANTONIO JR</t>
  </si>
  <si>
    <t>GAMBOA, JOSE LUIS LITO O.</t>
  </si>
  <si>
    <t>GAN/NGIE, JOCSON LEE</t>
  </si>
  <si>
    <t>GANTIOQUI, ERIC VINCENT Mabolo</t>
  </si>
  <si>
    <t>Garcia Jr., Evaristo</t>
  </si>
  <si>
    <t>GARCIA, ALBERTO MIGUEL B</t>
  </si>
  <si>
    <t>GARCIA, FRANCIS JOSEPH T.  "frank"</t>
  </si>
  <si>
    <t>GARCIA, HENRY</t>
  </si>
  <si>
    <t>Garcia, Jerome Samuel</t>
  </si>
  <si>
    <t>GARCIA, JOHN EDRIC ROMASOC</t>
  </si>
  <si>
    <t>GARCIA, JOSE ALBERTO S.</t>
  </si>
  <si>
    <t>GARCIA, LUIS MIGUEL LOUIE E.</t>
  </si>
  <si>
    <t>Garcia, Sammy</t>
  </si>
  <si>
    <t>GARCIA, VICTOR Q</t>
  </si>
  <si>
    <t>Garrido III, Avelino M.</t>
  </si>
  <si>
    <t>GARROVILLO JR., JOSE BOBOY T.</t>
  </si>
  <si>
    <t>Gatbonton, Andro David</t>
  </si>
  <si>
    <t>GATBONTON, ANTONIO M.</t>
  </si>
  <si>
    <t>GATMAITAN III, RODRIGO PATRICK</t>
  </si>
  <si>
    <t>GATMAITAN JR., RODRIGO</t>
  </si>
  <si>
    <t>GATMAITAN, RALPH ERNEST  BALATBAT</t>
  </si>
  <si>
    <t>GENECIRAN, CHRIS REY E.</t>
  </si>
  <si>
    <t>GERVACIO, HOMER V.</t>
  </si>
  <si>
    <t>GERVACIO, ROMULO D.</t>
  </si>
  <si>
    <t>Gesmundo, Irmingardo</t>
  </si>
  <si>
    <t>GO, Arturo</t>
  </si>
  <si>
    <t>Go, Elson</t>
  </si>
  <si>
    <t>Go, Fredric Marvin</t>
  </si>
  <si>
    <t>GO, JONATHAN</t>
  </si>
  <si>
    <t>Go, Patrick  Cymmon ''Trick''</t>
  </si>
  <si>
    <t>GO, PHILIP L</t>
  </si>
  <si>
    <t>Go, Wren Justin</t>
  </si>
  <si>
    <t>Goh, Lawrence Wilson</t>
  </si>
  <si>
    <t>GOMEZ, AURELIO L</t>
  </si>
  <si>
    <t>GOMEZ, JOAQUIN ANDRES A.</t>
  </si>
  <si>
    <t>Gomez, Jose Jacobo</t>
  </si>
  <si>
    <t>Gomez, Juan Gerardo</t>
  </si>
  <si>
    <t>GONZALES, DJYD COLLINS</t>
  </si>
  <si>
    <t>GONZALES, DR. GERARDO "Gerry"</t>
  </si>
  <si>
    <t>GONZALES, JEDY PATEÃ‘A</t>
  </si>
  <si>
    <t>Gonzales, John Robert</t>
  </si>
  <si>
    <t>GONZALES, JOSE "JOE" S</t>
  </si>
  <si>
    <t>Gonzales, Lemuel Joseph "Leejay" D.</t>
  </si>
  <si>
    <t>GONZALES, ROBERTO BOB S</t>
  </si>
  <si>
    <t>GORDON, GEORGE G.</t>
  </si>
  <si>
    <t>GOROSPE, RONALDO M.</t>
  </si>
  <si>
    <t>GOZO, Reginald "Gino" F.</t>
  </si>
  <si>
    <t>Gregorio, Luis Miguel</t>
  </si>
  <si>
    <t>GREGORIO, VICENTE LOGARTA</t>
  </si>
  <si>
    <t>GREULICH, ROBERT R</t>
  </si>
  <si>
    <t>Griffo, Kevin</t>
  </si>
  <si>
    <t>Gruber, Johannes</t>
  </si>
  <si>
    <t>GUTIERREZ JR., IGNACIO A</t>
  </si>
  <si>
    <t>GUTIERREZ, Danilo</t>
  </si>
  <si>
    <t>GUTIERREZ, IGNACIO C</t>
  </si>
  <si>
    <t>Gutierrez, Miguel Angelo C.</t>
  </si>
  <si>
    <t>GUZMAN, JOSE ENGELBERT D.</t>
  </si>
  <si>
    <t>GUZMAN, RAYMUNDO N</t>
  </si>
  <si>
    <t>GUZMAN, Vicente L.</t>
  </si>
  <si>
    <t>HAN, KI SEUNG</t>
  </si>
  <si>
    <t>Han, Sang Koo</t>
  </si>
  <si>
    <t>HANDOG, Gabriel C.</t>
  </si>
  <si>
    <t>HAO, PHILIP T</t>
  </si>
  <si>
    <t>HARVEY, John Paul</t>
  </si>
  <si>
    <t>HAY, ALEJANDRO L</t>
  </si>
  <si>
    <t>HELMORE, STUART WILLIAM</t>
  </si>
  <si>
    <t>HEO, JU HEAK</t>
  </si>
  <si>
    <t>Herber, John</t>
  </si>
  <si>
    <t>HERMOSO, MARCOS STA.CRUZ</t>
  </si>
  <si>
    <t>HERMOSO, ROMMEL D</t>
  </si>
  <si>
    <t>HERNANDEZ, DANILO V</t>
  </si>
  <si>
    <t>HERNANDEZ, ROMMEL P.</t>
  </si>
  <si>
    <t>HERON, DAVID</t>
  </si>
  <si>
    <t>HIDAKA, KOICHI</t>
  </si>
  <si>
    <t>HIDALGO, BIENVENIDO C</t>
  </si>
  <si>
    <t>Hipolito, Alvin</t>
  </si>
  <si>
    <t>Hirai, Shuichi</t>
  </si>
  <si>
    <t>Hirata, Daisuke</t>
  </si>
  <si>
    <t>Hjartnes, Kjell</t>
  </si>
  <si>
    <t>Holden, David</t>
  </si>
  <si>
    <t>HORII, Mitsushige</t>
  </si>
  <si>
    <t>HUANG, JASPER EINSTEIN T</t>
  </si>
  <si>
    <t>Hutton, Dean</t>
  </si>
  <si>
    <t>Hwang, Donghyun</t>
  </si>
  <si>
    <t>Ibay, Frederick</t>
  </si>
  <si>
    <t>Ibay, IÃ±igo Gabriel</t>
  </si>
  <si>
    <t>IBAY, LEXTER NAVARRO</t>
  </si>
  <si>
    <t>Ibay, Marco Alejandro</t>
  </si>
  <si>
    <t>IKEDA, TOMOAKI</t>
  </si>
  <si>
    <t>IKEYA, CHIAKI</t>
  </si>
  <si>
    <t>ILAGAN, A.S. RAUL B</t>
  </si>
  <si>
    <t>INACAY, Ferdinand</t>
  </si>
  <si>
    <t>Ingalla, Anthony "Tony"</t>
  </si>
  <si>
    <t>Intal, Joaquin Luis</t>
  </si>
  <si>
    <t>Intal, Jose Benito</t>
  </si>
  <si>
    <t>INTAL, ROEL</t>
  </si>
  <si>
    <t>IRASUSTA, ARTHUR N.</t>
  </si>
  <si>
    <t>ISIP, AUGUSTO</t>
  </si>
  <si>
    <t>ISIP, NATHANIEL</t>
  </si>
  <si>
    <t>Jacildo, Rafael</t>
  </si>
  <si>
    <t>Jahns, Keanu Christopher Jason</t>
  </si>
  <si>
    <t>JAMBALOS, JAY MALINAO</t>
  </si>
  <si>
    <t>Jamir, Edwin</t>
  </si>
  <si>
    <t>JAMORA, ELPIDIO</t>
  </si>
  <si>
    <t>Jarina, Ranvin</t>
  </si>
  <si>
    <t>JARO, GEORGE CEDRIC</t>
  </si>
  <si>
    <t>Jaro, Gian Karlo</t>
  </si>
  <si>
    <t>JARO, GILBERT</t>
  </si>
  <si>
    <t>Jaro, Lloyd Emman</t>
  </si>
  <si>
    <t>JARO, NELSON A.</t>
  </si>
  <si>
    <t>Jaro, Romar</t>
  </si>
  <si>
    <t>JARVIS, STEPHEN J</t>
  </si>
  <si>
    <t>Javellana, David Alan</t>
  </si>
  <si>
    <t>JAVIER, CARLOS RENATO P</t>
  </si>
  <si>
    <t>JAVIER, EDGARDO</t>
  </si>
  <si>
    <t>Javier, Jaime Jose</t>
  </si>
  <si>
    <t>JAVIER, LEANDRO M</t>
  </si>
  <si>
    <t>Jazmines, Benjamin</t>
  </si>
  <si>
    <t>JEON, KYOUNG IL</t>
  </si>
  <si>
    <t>JEON, WOO IK</t>
  </si>
  <si>
    <t>Jeong, Bongkyu</t>
  </si>
  <si>
    <t>Jeong, Kwang Jo</t>
  </si>
  <si>
    <t>JEONG, SANG KWON</t>
  </si>
  <si>
    <t>JIMENEZ III, CECILIO T</t>
  </si>
  <si>
    <t>JIMENEZ, GERONIMO NILO G.</t>
  </si>
  <si>
    <t>Jimeno Jr., Cecilio</t>
  </si>
  <si>
    <t>Joo, Sang Sup</t>
  </si>
  <si>
    <t>JORNADA, RYAN RENE</t>
  </si>
  <si>
    <t>Jose III, Juan Ma. Jaime</t>
  </si>
  <si>
    <t>JOSE JR., JUAN MA. DELFIN</t>
  </si>
  <si>
    <t>JOSON, RICHARD ALLAN D.</t>
  </si>
  <si>
    <t>JUANE, DIA LORENZO</t>
  </si>
  <si>
    <t>JUANE, DUN JILLIAN "EMONG"</t>
  </si>
  <si>
    <t>Juco, Jefferson</t>
  </si>
  <si>
    <t>JULVE, BERNARDINO</t>
  </si>
  <si>
    <t>Jun, Hae Yong</t>
  </si>
  <si>
    <t>Junghan, Junghan</t>
  </si>
  <si>
    <t>JUSTINIANO, JOSE IVAN T</t>
  </si>
  <si>
    <t>KAMINSKY, Jess</t>
  </si>
  <si>
    <t>Kang, Hyungki</t>
  </si>
  <si>
    <t>Kang, Hyunsuk</t>
  </si>
  <si>
    <t>Kang, Jeong Seo</t>
  </si>
  <si>
    <t>Kang, Jong Hoon</t>
  </si>
  <si>
    <t>Kang, Myung Ho</t>
  </si>
  <si>
    <t>KANG, TAI GU</t>
  </si>
  <si>
    <t>Kang, Widon</t>
  </si>
  <si>
    <t>Kang, Young Chul</t>
  </si>
  <si>
    <t>KARINGAL, RAMON V.</t>
  </si>
  <si>
    <t>KASUKAWA, HIROAKI</t>
  </si>
  <si>
    <t>KAW, GEORGE L</t>
  </si>
  <si>
    <t>KAW, JONATHAN</t>
  </si>
  <si>
    <t>Kawada, Yosuke</t>
  </si>
  <si>
    <t>Kawamura, Kentaro</t>
  </si>
  <si>
    <t>Kho, Peter</t>
  </si>
  <si>
    <t>Kikuchi, Toru</t>
  </si>
  <si>
    <t>Kim, Christopher</t>
  </si>
  <si>
    <t>KIM, DOC JOON</t>
  </si>
  <si>
    <t>Kim, Hyung Soo</t>
  </si>
  <si>
    <t>Kim, Hyung Wook</t>
  </si>
  <si>
    <t>KIM, JONG GOO</t>
  </si>
  <si>
    <t>Kim, Jongkuk</t>
  </si>
  <si>
    <t>KIM, KI BEOM</t>
  </si>
  <si>
    <t>Kim, Ku Chul</t>
  </si>
  <si>
    <t>KIM, KYUWON</t>
  </si>
  <si>
    <t>KIM, SANG CHUN</t>
  </si>
  <si>
    <t>Kim, Sehyeon</t>
  </si>
  <si>
    <t>Kim, Su Yong</t>
  </si>
  <si>
    <t>KIM, SUNG YONG</t>
  </si>
  <si>
    <t>KIM, TAE SOO</t>
  </si>
  <si>
    <t>Kim, Tae Won</t>
  </si>
  <si>
    <t>Kim, Tae Woo</t>
  </si>
  <si>
    <t>KIM, TAE YOUNG</t>
  </si>
  <si>
    <t>KIM, Wansoo</t>
  </si>
  <si>
    <t>Kim, Yeongcheol David</t>
  </si>
  <si>
    <t>Kim, Yong Whan</t>
  </si>
  <si>
    <t>KIM, YOUNG SOOK KENNETH</t>
  </si>
  <si>
    <t>Kim, Youngchai</t>
  </si>
  <si>
    <t>Kimura, Junichi</t>
  </si>
  <si>
    <t>King Jr., Roberto Canlas</t>
  </si>
  <si>
    <t>KING, PATRICK JONATHAN W.</t>
  </si>
  <si>
    <t>KO, CELESTINO L</t>
  </si>
  <si>
    <t>Ko, Kyoung Taek</t>
  </si>
  <si>
    <t>Ko, Taegu</t>
  </si>
  <si>
    <t>Ko, Young Uk</t>
  </si>
  <si>
    <t>KODA, YOSHINORI</t>
  </si>
  <si>
    <t>KOHCHET-CHUA, CHARLES L.</t>
  </si>
  <si>
    <t>KOHCHET-CHUA, CHRISTOPHER LEONARD T.</t>
  </si>
  <si>
    <t>KONDO, YOSHIMITSU</t>
  </si>
  <si>
    <t>Kono, Yoshiro</t>
  </si>
  <si>
    <t>Koo, Bondal</t>
  </si>
  <si>
    <t>KUMAZAWA, YASUO</t>
  </si>
  <si>
    <t>Kumazawa, Yusuke</t>
  </si>
  <si>
    <t>KURISU, TADAYOSHI</t>
  </si>
  <si>
    <t>Kuroda, Keiichi</t>
  </si>
  <si>
    <t>Kwon, Sang Ho</t>
  </si>
  <si>
    <t>KWON, YONG SUK</t>
  </si>
  <si>
    <t>Lacap, Fritz Jerrold</t>
  </si>
  <si>
    <t>LACBO, LEOPOLDO</t>
  </si>
  <si>
    <t>LACSON, RAUL MARIO V.(awoo)</t>
  </si>
  <si>
    <t>Ladeza, Rito R.</t>
  </si>
  <si>
    <t>LALISAN JR., JOSE</t>
  </si>
  <si>
    <t>Lan, Lingyun</t>
  </si>
  <si>
    <t>Landas, Erwin</t>
  </si>
  <si>
    <t>Landrito, Ramon</t>
  </si>
  <si>
    <t>Lane, David John</t>
  </si>
  <si>
    <t>LANGOMEZ, LORENZO P</t>
  </si>
  <si>
    <t>LANSANGAN, CARLOS I</t>
  </si>
  <si>
    <t>LANUZA, FRANCIS ANDRE</t>
  </si>
  <si>
    <t>LANUZA, FRANCIS ROY</t>
  </si>
  <si>
    <t>LAO, JIMMY T</t>
  </si>
  <si>
    <t>LASAM, FRANCO</t>
  </si>
  <si>
    <t>LASET, REDENTOR</t>
  </si>
  <si>
    <t>LASTRILLA, GUALBERTO L.</t>
  </si>
  <si>
    <t>LAUREANO, JACKSON L</t>
  </si>
  <si>
    <t>Laurel, Gabriel Emmanuelle</t>
  </si>
  <si>
    <t>LAUREL, JOHN DAVID T</t>
  </si>
  <si>
    <t>LAUREL, JUAN SANTINO</t>
  </si>
  <si>
    <t>LAZA, VICENTE A</t>
  </si>
  <si>
    <t>LAZATIN, ALFREDO LEONARDO G.</t>
  </si>
  <si>
    <t>LEAGOGO, SEVERO BONG C.</t>
  </si>
  <si>
    <t>LEDESMA, ALEXIS P</t>
  </si>
  <si>
    <t>LEE, ALEXANDER TIU</t>
  </si>
  <si>
    <t>LEE, ANTHONY SAMUEL U.</t>
  </si>
  <si>
    <t>LEE, BERNARD JUNEHYUK</t>
  </si>
  <si>
    <t>LEE, BONG KOO</t>
  </si>
  <si>
    <t>Lee, Dokyung</t>
  </si>
  <si>
    <t>LEE, DONG KIE</t>
  </si>
  <si>
    <t>Lee, Dong Phill</t>
  </si>
  <si>
    <t>Lee, Hong Ju</t>
  </si>
  <si>
    <t>Lee, Houk</t>
  </si>
  <si>
    <t>Lee, Ik Jung</t>
  </si>
  <si>
    <t>LEE, JAE KYONG</t>
  </si>
  <si>
    <t>LEE, JAE WON</t>
  </si>
  <si>
    <t>LEE, JAE YOUNG</t>
  </si>
  <si>
    <t>Lee, Jaebok</t>
  </si>
  <si>
    <t>Lee, Jaemin</t>
  </si>
  <si>
    <t>LEE, JOUNGYE</t>
  </si>
  <si>
    <t>LEE, JUN BAI</t>
  </si>
  <si>
    <t>Lee, Jung-Hoon</t>
  </si>
  <si>
    <t>Lee, Kwang Taek</t>
  </si>
  <si>
    <t>Lee, Kwon Hyung</t>
  </si>
  <si>
    <t>LEE, KYE SOO</t>
  </si>
  <si>
    <t>LEE, MARLON LAO</t>
  </si>
  <si>
    <t>LEE, MYUNG GON</t>
  </si>
  <si>
    <t>LEE, NAK JU</t>
  </si>
  <si>
    <t>Lee, Nathan Xander</t>
  </si>
  <si>
    <t>Lee, Nixon Uy</t>
  </si>
  <si>
    <t>Lee, Sang Chil</t>
  </si>
  <si>
    <t>Lee, Seong Min</t>
  </si>
  <si>
    <t>Lee, Seung Chul</t>
  </si>
  <si>
    <t>Lee, Seunghan</t>
  </si>
  <si>
    <t>Lee, Seungho</t>
  </si>
  <si>
    <t>LEE, SUNG JU</t>
  </si>
  <si>
    <t>LEE, WINSTON B</t>
  </si>
  <si>
    <t>LEE, YOUNG BAEK</t>
  </si>
  <si>
    <t>Lee, Young Jin</t>
  </si>
  <si>
    <t>LEE, YUN HYENG</t>
  </si>
  <si>
    <t>LEGASTO, JOSEPH ADELBERT</t>
  </si>
  <si>
    <t>Leocadio, Maverick C.</t>
  </si>
  <si>
    <t>Leong, Conson</t>
  </si>
  <si>
    <t>Leosala, Antonio</t>
  </si>
  <si>
    <t>LEYESA, LEOPOLDO</t>
  </si>
  <si>
    <t>Li, Jin Zhong</t>
  </si>
  <si>
    <t>Li, PeiQin</t>
  </si>
  <si>
    <t>Libadia, Melchor</t>
  </si>
  <si>
    <t>Liganor, Alfonso Luis</t>
  </si>
  <si>
    <t>LIGANOR, ARNOLD A</t>
  </si>
  <si>
    <t>Ligot, Paulo Y.</t>
  </si>
  <si>
    <t>Lim Dy, Norelito</t>
  </si>
  <si>
    <t>LIM, ALFREDO CEREZA</t>
  </si>
  <si>
    <t>Lim, Alfredo Niccolo</t>
  </si>
  <si>
    <t>LIM, ALLIN T.</t>
  </si>
  <si>
    <t>LIM, ANTHONY L</t>
  </si>
  <si>
    <t>LIM, BLAIR HANN N</t>
  </si>
  <si>
    <t>LIM, BRENT TRAVIS C.</t>
  </si>
  <si>
    <t>LIM, DEXTER Y.</t>
  </si>
  <si>
    <t>LIM, EDWARD</t>
  </si>
  <si>
    <t>LIM, ERIC T</t>
  </si>
  <si>
    <t>Lim, Francis Thomas "Tommy"</t>
  </si>
  <si>
    <t>LIM, GARY PE</t>
  </si>
  <si>
    <t>LIM, GIOVANNE T</t>
  </si>
  <si>
    <t>LIM, HO SANG PETER</t>
  </si>
  <si>
    <t>LIM, HUBERT "Hubie "</t>
  </si>
  <si>
    <t>LIM, JOHN FRANCO</t>
  </si>
  <si>
    <t>Lim, Jon Nikulus</t>
  </si>
  <si>
    <t>LIM, JOSE N</t>
  </si>
  <si>
    <t>LIM, KELLY YAO</t>
  </si>
  <si>
    <t>Lim, Lance Lewis P.</t>
  </si>
  <si>
    <t>Lim, Lincoln</t>
  </si>
  <si>
    <t>LIM, LLOYD LEMUEL P.</t>
  </si>
  <si>
    <t>Lim, Lucas</t>
  </si>
  <si>
    <t>LIM, PACIFICO NELSON Q.</t>
  </si>
  <si>
    <t>LIM, RAFAEL "Raffy"</t>
  </si>
  <si>
    <t>LIM, RICARDO A</t>
  </si>
  <si>
    <t>LIM, SE CHUN JAIME</t>
  </si>
  <si>
    <t>Lim, Songsik</t>
  </si>
  <si>
    <t>LIM, TERENCE JAN</t>
  </si>
  <si>
    <t>LIM, Young Han</t>
  </si>
  <si>
    <t>Limbo, Hans Markus</t>
  </si>
  <si>
    <t>LIMBO, HERMIE</t>
  </si>
  <si>
    <t>Limsico, Ruben</t>
  </si>
  <si>
    <t>LIN, JEN-PAO EUGENE</t>
  </si>
  <si>
    <t>Lin, Po-Lun</t>
  </si>
  <si>
    <t>Lin, Zaili</t>
  </si>
  <si>
    <t>LITAM JR., LUIS</t>
  </si>
  <si>
    <t>Lizardo, Robert</t>
  </si>
  <si>
    <t>LLAMAS, Robin T.</t>
  </si>
  <si>
    <t>LOCSIN, EMMANUEL G</t>
  </si>
  <si>
    <t>LOPEZ, ALBERTO</t>
  </si>
  <si>
    <t>LOPEZ, ALLAN JAYSON</t>
  </si>
  <si>
    <t>LOPEZ, Jose Marie Jay</t>
  </si>
  <si>
    <t>Lopez, Ramon Felicisimo</t>
  </si>
  <si>
    <t>Lorenzo, Antonio Miguel</t>
  </si>
  <si>
    <t>Lorenzo, Philippe</t>
  </si>
  <si>
    <t>Lorimer, Jason</t>
  </si>
  <si>
    <t>Lorimer, Malcolm Moray</t>
  </si>
  <si>
    <t>Lozada, Roberto P.</t>
  </si>
  <si>
    <t>LU, HONGZHENG</t>
  </si>
  <si>
    <t>LUGAY, MARIO G</t>
  </si>
  <si>
    <t>LUI, GILBERT</t>
  </si>
  <si>
    <t>LUIS, DOMINADOR</t>
  </si>
  <si>
    <t>Luis, Drexel John</t>
  </si>
  <si>
    <t>Macabanti, Ferdinand</t>
  </si>
  <si>
    <t>Macabanti, Nathan Michael C.</t>
  </si>
  <si>
    <t>Macagba, James</t>
  </si>
  <si>
    <t>Macalintal, Gerry</t>
  </si>
  <si>
    <t>Macalintal, Michael Angelo</t>
  </si>
  <si>
    <t>Macaranas, Lorenzo Mikael</t>
  </si>
  <si>
    <t>Macaranas, Mark Lexter</t>
  </si>
  <si>
    <t>Macasaet, Paul Raimund</t>
  </si>
  <si>
    <t>Machanda, Sachin</t>
  </si>
  <si>
    <t>Mackenzie, Scott</t>
  </si>
  <si>
    <t>Maeura, Masakatsu</t>
  </si>
  <si>
    <t>MAGAT, JACOB ROMAN</t>
  </si>
  <si>
    <t>MAGAT, JOSE ROMAN D.</t>
  </si>
  <si>
    <t>MAGO, Darwin</t>
  </si>
  <si>
    <t>MAGSINO, Pampi M</t>
  </si>
  <si>
    <t>MAGTALAS, JAMES A.</t>
  </si>
  <si>
    <t>MAGTALAS, SANTINO JAMES</t>
  </si>
  <si>
    <t>Makilan, Louie S.</t>
  </si>
  <si>
    <t>MAKITA, HIROYUKI</t>
  </si>
  <si>
    <t>MALANTIC, ARIS C.</t>
  </si>
  <si>
    <t>MALCONTENTO, BENEDICTO A</t>
  </si>
  <si>
    <t>MALINIS, ANTONIO O</t>
  </si>
  <si>
    <t>MALVEDA, FERNANDO</t>
  </si>
  <si>
    <t>MANALO, ALONSO MATEO</t>
  </si>
  <si>
    <t>MANALO, JULIO FELINO IYOY M.</t>
  </si>
  <si>
    <t>MANALO, LINO</t>
  </si>
  <si>
    <t>Mangahas, Miguel Carlos</t>
  </si>
  <si>
    <t>MANGAHIS, EDGARDO P</t>
  </si>
  <si>
    <t>Mangahis, Eldrick Jan</t>
  </si>
  <si>
    <t>MANGUBAT, ANTONIO L</t>
  </si>
  <si>
    <t>Mangubat, Joseph Mari</t>
  </si>
  <si>
    <t>Mangubat, Luis Anthony</t>
  </si>
  <si>
    <t>MANLIM, WILLIAM</t>
  </si>
  <si>
    <t>MANTOLINO, Paolo Jose</t>
  </si>
  <si>
    <t>MANZANO, NORBERTO BOY P</t>
  </si>
  <si>
    <t>MAPUA, MIGUEL N</t>
  </si>
  <si>
    <t>MARANAN, FLORENDO G.</t>
  </si>
  <si>
    <t>Marasigan, Gerardo</t>
  </si>
  <si>
    <t>Marasigan, Mikko Edwardson</t>
  </si>
  <si>
    <t>Marigomen, Napoleon</t>
  </si>
  <si>
    <t>Martinez III, Jesus Gian Paolo</t>
  </si>
  <si>
    <t>MARTINEZ, EDWARD P</t>
  </si>
  <si>
    <t>Martinez, Javier Alberto</t>
  </si>
  <si>
    <t>MARTINEZ, LANCE A</t>
  </si>
  <si>
    <t>MARTINEZ, RESTITUTO TITO D.</t>
  </si>
  <si>
    <t>MARTINEZ, REYNALDO C</t>
  </si>
  <si>
    <t>MASSELIN, RICHARD M</t>
  </si>
  <si>
    <t>MASUDA, YUICHI</t>
  </si>
  <si>
    <t>Mata II, Reynold</t>
  </si>
  <si>
    <t>Matanguihan, Ronaldo</t>
  </si>
  <si>
    <t>MATHAY, IAN "JET"</t>
  </si>
  <si>
    <t>Matias, Oliver James</t>
  </si>
  <si>
    <t>MATSUSAKI, TETSUYA</t>
  </si>
  <si>
    <t>Mc Cabe, Marc Edward</t>
  </si>
  <si>
    <t>Mcgilvray, Morgan Andrew</t>
  </si>
  <si>
    <t>MEDINA III, MARIO JOSEPH GOPAOCO</t>
  </si>
  <si>
    <t>Medina, Alfredo</t>
  </si>
  <si>
    <t>Medina, Enrique Antonio</t>
  </si>
  <si>
    <t>MEDINA, HENRY D</t>
  </si>
  <si>
    <t>Medina, Jose Angelo</t>
  </si>
  <si>
    <t>Medina, Jose Gerardo</t>
  </si>
  <si>
    <t>MEDINA, MARK ANTHONY O</t>
  </si>
  <si>
    <t>MEDINA, Paolo</t>
  </si>
  <si>
    <t>MEDINA, Zhan Pocholo S.</t>
  </si>
  <si>
    <t>MEJIA, JOSE</t>
  </si>
  <si>
    <t>MELO, JAIME ALBERTO C</t>
  </si>
  <si>
    <t>MENDOZA JR., AUGUSTO</t>
  </si>
  <si>
    <t>MENDOZA, JOSEPH GABRIEL T</t>
  </si>
  <si>
    <t>MENDOZA, MELVIN V</t>
  </si>
  <si>
    <t>MENDOZA, NELSON M</t>
  </si>
  <si>
    <t>MENDOZA, Raymond C. (ryan)</t>
  </si>
  <si>
    <t>Mendoza, Timothy Joseph</t>
  </si>
  <si>
    <t>Menguito, Moises</t>
  </si>
  <si>
    <t>MERCADO JR., DAVID</t>
  </si>
  <si>
    <t>MERCADO, ERNESTO</t>
  </si>
  <si>
    <t>MERCADO, RONALD P.</t>
  </si>
  <si>
    <t>MICLAT, ROBERT</t>
  </si>
  <si>
    <t>MIGRIÃ‘O, RENATO N</t>
  </si>
  <si>
    <t>Miguel, Alex</t>
  </si>
  <si>
    <t>MILANO, CARLO M</t>
  </si>
  <si>
    <t>Militar, Edwin</t>
  </si>
  <si>
    <t>MILLONADO, JOSELITO</t>
  </si>
  <si>
    <t>Min, Choongki</t>
  </si>
  <si>
    <t>Min, Sung Whan</t>
  </si>
  <si>
    <t>MISRA, PUSHKAR</t>
  </si>
  <si>
    <t>Mitra, Ramon</t>
  </si>
  <si>
    <t>Mitra, Ramon Manuel Gustavo</t>
  </si>
  <si>
    <t>MIYATA, HITOSHI WATANABE</t>
  </si>
  <si>
    <t>MIZUCHI, KOKI</t>
  </si>
  <si>
    <t>MOJICA, ALDOUS KEITH O</t>
  </si>
  <si>
    <t>Molano, Roberto S.</t>
  </si>
  <si>
    <t>MONDONEDO, JUAN ARNEL D</t>
  </si>
  <si>
    <t>MONTALBANO, THOMAS</t>
  </si>
  <si>
    <t>MONTALLANA, FRANCIS C</t>
  </si>
  <si>
    <t>MONTEIRO, WENDEL E</t>
  </si>
  <si>
    <t>MONTOYA, Christian</t>
  </si>
  <si>
    <t>MOON, JONG GU</t>
  </si>
  <si>
    <t>Moon, Ki Tae</t>
  </si>
  <si>
    <t>Moran, Eduardo Luis Antonio</t>
  </si>
  <si>
    <t>MORAN, ROBERT JOSEPH</t>
  </si>
  <si>
    <t>More, Russell</t>
  </si>
  <si>
    <t>MORENO, ERNESTO Y</t>
  </si>
  <si>
    <t>MORILLO, Bernard</t>
  </si>
  <si>
    <t>Movilla, Rolando</t>
  </si>
  <si>
    <t>MUELDER, TIMOTHY ALLEN</t>
  </si>
  <si>
    <t>Mun, Il Yeong</t>
  </si>
  <si>
    <t>MURATA, HIDEKI</t>
  </si>
  <si>
    <t>Nakamura, Masaaki</t>
  </si>
  <si>
    <t>NAKANO, HIDEAKI</t>
  </si>
  <si>
    <t>Nakayama, Shigeyosi</t>
  </si>
  <si>
    <t>Narciso Jr., Clodualdo S.</t>
  </si>
  <si>
    <t>NARUKO, REIICHI M</t>
  </si>
  <si>
    <t>Narvaez, Elwyn Vincent</t>
  </si>
  <si>
    <t>Nasser, Alfredo</t>
  </si>
  <si>
    <t>NAVARRETE, ALFREDO G</t>
  </si>
  <si>
    <t>Navarro, Joel Roy C.</t>
  </si>
  <si>
    <t>Nazario, Ronald Allan</t>
  </si>
  <si>
    <t>NG SR, BENJAMIN</t>
  </si>
  <si>
    <t>NG, ANTHONY</t>
  </si>
  <si>
    <t>Ng, Kheed Nielsen</t>
  </si>
  <si>
    <t>Ngo, Daniel Patterson</t>
  </si>
  <si>
    <t>Ngo, David Jose Patterson</t>
  </si>
  <si>
    <t>Ngo, Jefferson</t>
  </si>
  <si>
    <t>NGO, RICHARDSON</t>
  </si>
  <si>
    <t>NGO, TONNY L</t>
  </si>
  <si>
    <t>NGUYEN, Tuan</t>
  </si>
  <si>
    <t>Nicdao, Joseph Patrick</t>
  </si>
  <si>
    <t>Nielsen, Kasper</t>
  </si>
  <si>
    <t>Nimo, John Gabriel</t>
  </si>
  <si>
    <t>NIMO, RICARDO V.</t>
  </si>
  <si>
    <t>NISHII, TAKAHIDE</t>
  </si>
  <si>
    <t>NISHIMIYA, YUKIHIRO</t>
  </si>
  <si>
    <t>Nishisaka, Jiro</t>
  </si>
  <si>
    <t>NOCOM, ALBERT O</t>
  </si>
  <si>
    <t>Noguchi, Hiroyuki</t>
  </si>
  <si>
    <t>NOLASCO, PHILIP</t>
  </si>
  <si>
    <t>NOVENARIO, JOSE SALVADOR</t>
  </si>
  <si>
    <t>NOVENO, DANILO P.</t>
  </si>
  <si>
    <t>Nuttall, Richard Thomas</t>
  </si>
  <si>
    <t>OBRERO SR., WILSON</t>
  </si>
  <si>
    <t>OCA JR., JOSE L.</t>
  </si>
  <si>
    <t>Oca, Jose Vicente</t>
  </si>
  <si>
    <t>Oca, Raymond Roderick B.</t>
  </si>
  <si>
    <t>OCAMPO JR., JESUS</t>
  </si>
  <si>
    <t>OCAMPO, Jeffrey</t>
  </si>
  <si>
    <t>OCAMPO, John Kenneth</t>
  </si>
  <si>
    <t>Ocampo, Jullian Andrew</t>
  </si>
  <si>
    <t>OCAMPO, Miguel â€œMickeyâ€</t>
  </si>
  <si>
    <t>Ocampo, Nilo B.</t>
  </si>
  <si>
    <t>ODULIO, RICARDO DICK M</t>
  </si>
  <si>
    <t>Ogawa, Toshiaki</t>
  </si>
  <si>
    <t>OH, JIE SIK</t>
  </si>
  <si>
    <t>Oh, Kumku</t>
  </si>
  <si>
    <t>OH, YONGKEUN</t>
  </si>
  <si>
    <t>OH, Young Gwon</t>
  </si>
  <si>
    <t>Ohashi, Ryo</t>
  </si>
  <si>
    <t>OIKAWA, MITSURU</t>
  </si>
  <si>
    <t>OKA, TOSHIKATSU</t>
  </si>
  <si>
    <t>OLAGUERA, RONILO Z.</t>
  </si>
  <si>
    <t>Olano, Jeremiah</t>
  </si>
  <si>
    <t>OLIVAR, SAMUEL F.</t>
  </si>
  <si>
    <t>OLIVARES, PAOLO GIOVANNI  " gino "</t>
  </si>
  <si>
    <t>OLIVAREZ JR., EDWIN ANGELES</t>
  </si>
  <si>
    <t>OLIVAREZ, Pablo</t>
  </si>
  <si>
    <t>OLIVEROS, RODERICK</t>
  </si>
  <si>
    <t>ONG, ALEXANDER R.</t>
  </si>
  <si>
    <t>ONG, DAVE MAVERICK</t>
  </si>
  <si>
    <t>ONG, DAVID</t>
  </si>
  <si>
    <t>ONG, DONICIO CHUA</t>
  </si>
  <si>
    <t>Ong, Erik Raem</t>
  </si>
  <si>
    <t>Ong, Jefferson Aaron</t>
  </si>
  <si>
    <t>ONG, JEFFREY T.</t>
  </si>
  <si>
    <t>ONG, JOHN ALEXIS KELVIN N.</t>
  </si>
  <si>
    <t>Ong, Stanley Sy</t>
  </si>
  <si>
    <t>ONG, VICENTE T.</t>
  </si>
  <si>
    <t>ONG, WASHINGTON SIH</t>
  </si>
  <si>
    <t>ONG, WILLARD CHASE J</t>
  </si>
  <si>
    <t>ONG, WILLIAM KU</t>
  </si>
  <si>
    <t>ONG, WILSON P.</t>
  </si>
  <si>
    <t>OPOSA, Jaime"Kiano"</t>
  </si>
  <si>
    <t>OPULENCIA, GERARD</t>
  </si>
  <si>
    <t>Opulencia, Jose Lorenzo</t>
  </si>
  <si>
    <t>OROZCO, Virgilio</t>
  </si>
  <si>
    <t>Orquinaza, Alan David</t>
  </si>
  <si>
    <t>OSERO, RENAN R.</t>
  </si>
  <si>
    <t>OTAYZA, MANUEL JULIAN "NOLET"</t>
  </si>
  <si>
    <t>PACHECO JR., VICENTE</t>
  </si>
  <si>
    <t>Pacis, Andrew</t>
  </si>
  <si>
    <t>Packing, Carlos Alfonso</t>
  </si>
  <si>
    <t>PACKING, JOSE CARLO</t>
  </si>
  <si>
    <t>Pacpaco, Wilfredo</t>
  </si>
  <si>
    <t>Padilla, Amando Ian</t>
  </si>
  <si>
    <t>Padilla, Patrick Lawrence</t>
  </si>
  <si>
    <t>Padilla, Romuald</t>
  </si>
  <si>
    <t>PADILLA, TERENCE B.</t>
  </si>
  <si>
    <t>Padilla, Tomas Gregorio</t>
  </si>
  <si>
    <t>PADILLA, TRISTAN JEFFERSON B.</t>
  </si>
  <si>
    <t>Padilla, Victor Jose B</t>
  </si>
  <si>
    <t>PADRIGON JR., ROBERTO</t>
  </si>
  <si>
    <t>Padua III, Jose Jericho</t>
  </si>
  <si>
    <t>PAGTAKHAN, LUIS T</t>
  </si>
  <si>
    <t>PAGTAKHAN, NEMESIO SARMIENTO</t>
  </si>
  <si>
    <t>Palad, Aaron Matthew</t>
  </si>
  <si>
    <t>PALAD, EMERSON</t>
  </si>
  <si>
    <t>Palanca, Michaelo Eduardo</t>
  </si>
  <si>
    <t>Palapal, Josemaria L.</t>
  </si>
  <si>
    <t>Palma Jr., Eduardo P.</t>
  </si>
  <si>
    <t>PANGAN, MARIO C</t>
  </si>
  <si>
    <t>PANGANIBAN, JOSE</t>
  </si>
  <si>
    <t>PAO, VICENTE</t>
  </si>
  <si>
    <t>PARAISO JR., DANILO</t>
  </si>
  <si>
    <t>PARAISO, EDUARDO K</t>
  </si>
  <si>
    <t>Paras, Josemarte II</t>
  </si>
  <si>
    <t>Paras, Neil Raymund</t>
  </si>
  <si>
    <t>PARASO, NOEL PANALIGAN</t>
  </si>
  <si>
    <t>PARK, CHONG HYUN</t>
  </si>
  <si>
    <t>PARK, EUN SAING</t>
  </si>
  <si>
    <t>PARK, HUNG SOO</t>
  </si>
  <si>
    <t>Park, Hyun Chol</t>
  </si>
  <si>
    <t>Park, JaeYoo</t>
  </si>
  <si>
    <t>Park, Juman</t>
  </si>
  <si>
    <t>PARK, KEEHOON</t>
  </si>
  <si>
    <t>Park, Sangyoon</t>
  </si>
  <si>
    <t>PARK, SEUNG-TAE</t>
  </si>
  <si>
    <t>PARK, SOO MYUNG</t>
  </si>
  <si>
    <t>Park, Sung Hyo</t>
  </si>
  <si>
    <t>PARK, SUNG JOON</t>
  </si>
  <si>
    <t>PARK, SUNG KYUN</t>
  </si>
  <si>
    <t>PARUNGAO JR., ELIASITO MAGDANGAL</t>
  </si>
  <si>
    <t>Pastrana, David</t>
  </si>
  <si>
    <t>PATINO, RESURRECION A</t>
  </si>
  <si>
    <t>Patricio, Gonard</t>
  </si>
  <si>
    <t>Patricio, John Daryl</t>
  </si>
  <si>
    <t>Paulino, Juan Miguel</t>
  </si>
  <si>
    <t>Paulino, Tobias</t>
  </si>
  <si>
    <t>PAYUMO, MILBERT C</t>
  </si>
  <si>
    <t>Payuyo, Jessie</t>
  </si>
  <si>
    <t>Paz, Jordan</t>
  </si>
  <si>
    <t>PE, AUSTIN TANG</t>
  </si>
  <si>
    <t>Pearson, Paul</t>
  </si>
  <si>
    <t>PECHERA, Karl Nikko</t>
  </si>
  <si>
    <t>Pecson, Michael</t>
  </si>
  <si>
    <t>PeÃ±a, Allan Joseph</t>
  </si>
  <si>
    <t>PeÃ±a, Juan O.</t>
  </si>
  <si>
    <t>PEÃ‘A, VIRGILIO L.</t>
  </si>
  <si>
    <t>PENEYRA, JOEL D.</t>
  </si>
  <si>
    <t>PEREZ, PAUL ESCOBER</t>
  </si>
  <si>
    <t>PEREZ, RODRIGO C.</t>
  </si>
  <si>
    <t>PEREZ, YULO ERESO</t>
  </si>
  <si>
    <t>Pesebre, Marlon</t>
  </si>
  <si>
    <t>Pilao, Paul Norberto C.</t>
  </si>
  <si>
    <t>PIMENTEL, Bonifacio V.</t>
  </si>
  <si>
    <t>Pineda, Dindo</t>
  </si>
  <si>
    <t>Pineda, Joaquin Benito P.</t>
  </si>
  <si>
    <t>Pizarro, Aedan L.</t>
  </si>
  <si>
    <t>PIZARRO, FERNANDO TOTO F</t>
  </si>
  <si>
    <t>PIZARRO, MARK ANTHONY</t>
  </si>
  <si>
    <t>PIZARRO, MARLON AARON H</t>
  </si>
  <si>
    <t>PIZARRO, MARVIN ALBERT H</t>
  </si>
  <si>
    <t>PIZARRO, MELVYN ACE H</t>
  </si>
  <si>
    <t>PIZARRO, MICHAEL ANGELO H</t>
  </si>
  <si>
    <t>Plumley, Charles Vincent</t>
  </si>
  <si>
    <t>PO, ANTHONY ANG</t>
  </si>
  <si>
    <t>PO, CHRISTOPHER L.</t>
  </si>
  <si>
    <t>POA, HARRY UY</t>
  </si>
  <si>
    <t>POBEDA, ERWIN ROMMEL</t>
  </si>
  <si>
    <t>POBLADOR, NAPOLEON J</t>
  </si>
  <si>
    <t>POLICAR, NORBERTO D</t>
  </si>
  <si>
    <t>POLICARPIO, RAFAEL P</t>
  </si>
  <si>
    <t>PONCE, EMMANUEL</t>
  </si>
  <si>
    <t>Ponce, Marc Anthony</t>
  </si>
  <si>
    <t>POPP, Christopher</t>
  </si>
  <si>
    <t>Porciuncula, Jacob Zion Agapito</t>
  </si>
  <si>
    <t>PORCIUNCULA, JASON</t>
  </si>
  <si>
    <t>POSADAS, Raul R</t>
  </si>
  <si>
    <t>Pozon, Vincent Tcherny V.</t>
  </si>
  <si>
    <t>PREMEDILES, JULIUS</t>
  </si>
  <si>
    <t>PREMEDILES, MARIUS</t>
  </si>
  <si>
    <t>PRIMICIAS, EDUARDO DONDIE B</t>
  </si>
  <si>
    <t>Purvis, Derek</t>
  </si>
  <si>
    <t>Que, Jason Y.</t>
  </si>
  <si>
    <t>Quebral, Marx David</t>
  </si>
  <si>
    <t>Quebral, Marx Marion</t>
  </si>
  <si>
    <t>Queddeng, Eric</t>
  </si>
  <si>
    <t>Quiambao, John Stephen</t>
  </si>
  <si>
    <t>QUILACIO, DIOSDADO V.</t>
  </si>
  <si>
    <t>QUIMBO, RONNIE</t>
  </si>
  <si>
    <t>QUINTOS, JAVIER FELIPE "JACKY"</t>
  </si>
  <si>
    <t>QUIOGUE, LUIS "louie"</t>
  </si>
  <si>
    <t>Quizon, Gino Rei</t>
  </si>
  <si>
    <t>RACADIO, ARNEL   B</t>
  </si>
  <si>
    <t>RAFAEL, ROEL</t>
  </si>
  <si>
    <t>Rafer, Jose Nolan</t>
  </si>
  <si>
    <t>RAGOS TY, RICHARD</t>
  </si>
  <si>
    <t>RAMOS, EMILIANO</t>
  </si>
  <si>
    <t>RAMOS, EMMANUEL YOYO TAPALLA</t>
  </si>
  <si>
    <t>RAMOS, GEORGE M.</t>
  </si>
  <si>
    <t>RAMOS, SEAN JEAN N</t>
  </si>
  <si>
    <t>RAMOS, SIEGFRIED V</t>
  </si>
  <si>
    <t>RAMOS, STEPHEN B (biboy)</t>
  </si>
  <si>
    <t>RAMOS, Tim</t>
  </si>
  <si>
    <t>RAMSAY, DEREK ARTHUR</t>
  </si>
  <si>
    <t>RANCHEZ, RODERICK</t>
  </si>
  <si>
    <t>RAQUEL-SANTOS, JOSE P</t>
  </si>
  <si>
    <t>Raquino, John</t>
  </si>
  <si>
    <t>Recidoro, Joshua Emmanuel</t>
  </si>
  <si>
    <t>RECIDORO, NOEL ZACHARY</t>
  </si>
  <si>
    <t>Regalado, Raul</t>
  </si>
  <si>
    <t>REGONDOLA, ANTONIO RAFAEL</t>
  </si>
  <si>
    <t>REGONDOLA, PAUL RICHARD P</t>
  </si>
  <si>
    <t>Reinoso, Gabriel Luis F.</t>
  </si>
  <si>
    <t>REMULLA, JESUS CRISPIN C</t>
  </si>
  <si>
    <t>Reodica, Benjamin Jarrod</t>
  </si>
  <si>
    <t>Reunilla, George Christian</t>
  </si>
  <si>
    <t>Reyes, Argel Joseph</t>
  </si>
  <si>
    <t>REYES, DANILO SEBASTIAN</t>
  </si>
  <si>
    <t>REYES, EDGARDO D</t>
  </si>
  <si>
    <t>REYES, FIDEL HERMAN C</t>
  </si>
  <si>
    <t>Reyes, Hugo Pietro</t>
  </si>
  <si>
    <t>REYES, JOHN PAUL G.</t>
  </si>
  <si>
    <t>REYES, JOSEPH CARLO S.</t>
  </si>
  <si>
    <t>Reyes, Juan Miguel Procopio S.</t>
  </si>
  <si>
    <t>REYES, LENNARD JOSEPH</t>
  </si>
  <si>
    <t>REYES, LEOMAX S</t>
  </si>
  <si>
    <t>REYES, LORENZO LUIS D</t>
  </si>
  <si>
    <t>REYES, MARKUS GERARD</t>
  </si>
  <si>
    <t>REYES, NORBERTO</t>
  </si>
  <si>
    <t>REYES, NORMAN MARTIN</t>
  </si>
  <si>
    <t>REYES, PAUL JOHN T</t>
  </si>
  <si>
    <t>REYES, RAFAEL EUGENIO</t>
  </si>
  <si>
    <t>REYES, RODOLFO O.</t>
  </si>
  <si>
    <t>REYES, THOMAS NIKOLAS</t>
  </si>
  <si>
    <t>REYES-CUERVA, ANTONIO MA.</t>
  </si>
  <si>
    <t>REYES-LAO, HONORIO</t>
  </si>
  <si>
    <t>Reynera, Gabriel Justin M.</t>
  </si>
  <si>
    <t>Ridao, Wilfred</t>
  </si>
  <si>
    <t>Rim, Sung Woo</t>
  </si>
  <si>
    <t>RIVERA, BENIGNO</t>
  </si>
  <si>
    <t>RIVERA, GEORGE MICHAEL DL</t>
  </si>
  <si>
    <t>Roberson, Robbie Charles</t>
  </si>
  <si>
    <t>ROBERSON, STEVEN MARK</t>
  </si>
  <si>
    <t>ROBINS, RICK ROBINSON</t>
  </si>
  <si>
    <t>ROBINS, RONALD ROBINSON</t>
  </si>
  <si>
    <t>Robles, Ralph Gerald</t>
  </si>
  <si>
    <t>Robles, Renan</t>
  </si>
  <si>
    <t>ROBLES, RICO L</t>
  </si>
  <si>
    <t>ROCHA, Juan Jose "John" B.</t>
  </si>
  <si>
    <t>Roco, Ruigene</t>
  </si>
  <si>
    <t>RODRIGUEZ, RAMON C.</t>
  </si>
  <si>
    <t>Rodriguez, Rodrigo M.</t>
  </si>
  <si>
    <t>RODRIGUEZ, WILFRIDO</t>
  </si>
  <si>
    <t>Roldan, Francisco P.</t>
  </si>
  <si>
    <t>Rolf, Anders Johan Oscar</t>
  </si>
  <si>
    <t>ROMANO III, VICENTE</t>
  </si>
  <si>
    <t>ROQUE, ROMEO S</t>
  </si>
  <si>
    <t>RUSSO, FRANK JOSEPH</t>
  </si>
  <si>
    <t>RUSTE, CHRISTIAN T.</t>
  </si>
  <si>
    <t>Ryu, Seong Hwi</t>
  </si>
  <si>
    <t>Sachdeva, Amit</t>
  </si>
  <si>
    <t>SACRO, RODERICK</t>
  </si>
  <si>
    <t>Sade, Kristian Michael</t>
  </si>
  <si>
    <t>SADIUA, CALVIN V</t>
  </si>
  <si>
    <t>Sagaral III, Samuel King</t>
  </si>
  <si>
    <t>SAGARAL IV, SAMUEL KING</t>
  </si>
  <si>
    <t>Sagaral, Raphael Angelo</t>
  </si>
  <si>
    <t>SAJORDA, LUIS</t>
  </si>
  <si>
    <t>SALAMANQUE, CYRIL C</t>
  </si>
  <si>
    <t>SALAMANQUE, JULIUS YVES ESTEBAN</t>
  </si>
  <si>
    <t>SALAS, MARCO Q</t>
  </si>
  <si>
    <t>SALAS, RACQUELITO</t>
  </si>
  <si>
    <t>Salgado, Manuel</t>
  </si>
  <si>
    <t>Salim, Jose Enrique</t>
  </si>
  <si>
    <t>SALIMO, EDMON</t>
  </si>
  <si>
    <t>SALINAS, MICHAEL LUKE</t>
  </si>
  <si>
    <t>Sallan, Arlan N</t>
  </si>
  <si>
    <t>SALUD, DANTE V</t>
  </si>
  <si>
    <t>Salvador, Axelram</t>
  </si>
  <si>
    <t>SALVADOR, EDUARDO J</t>
  </si>
  <si>
    <t>SALVADOR, Julio</t>
  </si>
  <si>
    <t>SALVADOR, ROMAN FLORO P</t>
  </si>
  <si>
    <t>Salvador, Sergio</t>
  </si>
  <si>
    <t>SAMIA, Nilo G.</t>
  </si>
  <si>
    <t>SAMONTAN, RENIE D</t>
  </si>
  <si>
    <t>SAMSON, Kenrick Lawrence</t>
  </si>
  <si>
    <t>Samson, Kyne Lawence Lim</t>
  </si>
  <si>
    <t>SAMSON, Lorenzo</t>
  </si>
  <si>
    <t>Samson, Rene Sze</t>
  </si>
  <si>
    <t>Samson, Russell Dave</t>
  </si>
  <si>
    <t>SAN GABRIEL, ARTHUR D</t>
  </si>
  <si>
    <t>SAN JUAN JR., RICARDO G</t>
  </si>
  <si>
    <t>SAN JUAN, MARIO</t>
  </si>
  <si>
    <t>SANARES, ADRIAN R.</t>
  </si>
  <si>
    <t>SANARES, JUAN MIGUEL BIBOY</t>
  </si>
  <si>
    <t>SANARES, NESTOR B</t>
  </si>
  <si>
    <t>SANCHEZ III, ARTEMIO VICTOR A</t>
  </si>
  <si>
    <t>SANCHEZ, BHEEJHAY</t>
  </si>
  <si>
    <t>Sanchez, Clark Nico</t>
  </si>
  <si>
    <t>Sanchez, Enrico Rossano</t>
  </si>
  <si>
    <t>SANCHEZ, PETER</t>
  </si>
  <si>
    <t>Sanchez, Vinni Beans C.</t>
  </si>
  <si>
    <t>SANTIAGO, ALFONSO L</t>
  </si>
  <si>
    <t>Santiago, Jose Raphael Luis</t>
  </si>
  <si>
    <t>Santiago, Joseph A.</t>
  </si>
  <si>
    <t>SANTIANO, MARK STEPHEN</t>
  </si>
  <si>
    <t>SANTIANO, NICHOLAS</t>
  </si>
  <si>
    <t>SANTILLAN, NESTOR R.</t>
  </si>
  <si>
    <t>SANTOS JR., SANTIAGO V.</t>
  </si>
  <si>
    <t>SANTOS, ALLAN   R.</t>
  </si>
  <si>
    <t>SANTOS, ANDREFANIO D</t>
  </si>
  <si>
    <t>Santos, Angelo NiÃ±o B.</t>
  </si>
  <si>
    <t>Santos, Aristotle</t>
  </si>
  <si>
    <t>SANTOS, ARTURO T</t>
  </si>
  <si>
    <t>Santos, Cade Emanuelle</t>
  </si>
  <si>
    <t>Santos, Caleb Maxwell</t>
  </si>
  <si>
    <t>Santos, Norman T.</t>
  </si>
  <si>
    <t>SANTOS, RAFAELITO B</t>
  </si>
  <si>
    <t>SANTOS, RAYMOND V</t>
  </si>
  <si>
    <t>Santos, Vicente</t>
  </si>
  <si>
    <t>SANTOS, Vincent</t>
  </si>
  <si>
    <t>SAQUILAYAN, RELITO</t>
  </si>
  <si>
    <t>SARINGO, ALVIN</t>
  </si>
  <si>
    <t>SARMIENTO, ANDREW ESTANISLAO B.</t>
  </si>
  <si>
    <t>SARMIENTO, JOEL CHRISTE M</t>
  </si>
  <si>
    <t>Sarmiento, Justin Nicholas</t>
  </si>
  <si>
    <t>Sarmiento, Miguel</t>
  </si>
  <si>
    <t>SARROSA, ROLANDO NOLE</t>
  </si>
  <si>
    <t>SASAKI, TAKASHI</t>
  </si>
  <si>
    <t>Sato, Kaoru</t>
  </si>
  <si>
    <t>SAWIT, RENATO Y</t>
  </si>
  <si>
    <t>Sayarot, Lorenzo Rafael M.</t>
  </si>
  <si>
    <t>SAYOC, JOAQUIN V</t>
  </si>
  <si>
    <t>Sayuno, Anthony</t>
  </si>
  <si>
    <t>Sebastian, Aidian Rhege</t>
  </si>
  <si>
    <t>SEBASTIAN, REYNALDO U.</t>
  </si>
  <si>
    <t>SEBASTIAN, VICENTE GREGORIO S.</t>
  </si>
  <si>
    <t>SEE, Anthony</t>
  </si>
  <si>
    <t>SEE, JAMESON</t>
  </si>
  <si>
    <t>SEGUBAN, CESAR</t>
  </si>
  <si>
    <t>Segundo, Dino W.</t>
  </si>
  <si>
    <t>SEGURA, RODRIGO</t>
  </si>
  <si>
    <t>SEKIGUCHI, OSAMU HENRY</t>
  </si>
  <si>
    <t>Seo, Jong Yeol</t>
  </si>
  <si>
    <t>Seo, Jungwon</t>
  </si>
  <si>
    <t>Seo, Seungwhan</t>
  </si>
  <si>
    <t>Seol, Jae Hwan</t>
  </si>
  <si>
    <t>Sera Jose, Rafael</t>
  </si>
  <si>
    <t>Serrano, Jay Joseph</t>
  </si>
  <si>
    <t>SERRANO, Romerico S</t>
  </si>
  <si>
    <t>SERVIDA, CHITO</t>
  </si>
  <si>
    <t>SEVERINO, CARLO M</t>
  </si>
  <si>
    <t>SEVILLA, NESTOR F</t>
  </si>
  <si>
    <t>SEVILLA, NICOLAE</t>
  </si>
  <si>
    <t>Sharma, Manish</t>
  </si>
  <si>
    <t>Shi, Chun Wu</t>
  </si>
  <si>
    <t>Shim, Sangsik</t>
  </si>
  <si>
    <t>SHIMAZAKI, NOBORU</t>
  </si>
  <si>
    <t>SHIN, HEA-KOOK "ALEX"</t>
  </si>
  <si>
    <t>Shin, Ji Soo</t>
  </si>
  <si>
    <t>Shinozaki, Yutaka</t>
  </si>
  <si>
    <t>SI, MAC STEVENSON</t>
  </si>
  <si>
    <t>Sia, Franklin</t>
  </si>
  <si>
    <t>SIAPUATCO, LORENZO E</t>
  </si>
  <si>
    <t>SILVA JR., MARCIANO JUN</t>
  </si>
  <si>
    <t>SILVERIO, RODOLFO RUDY V</t>
  </si>
  <si>
    <t>SILVESTRE, EMMANUEL A.</t>
  </si>
  <si>
    <t>Sim, Jae Hyuk</t>
  </si>
  <si>
    <t>SIM, JAE SIN</t>
  </si>
  <si>
    <t>Sim, Justin Aaron</t>
  </si>
  <si>
    <t>SINGSON, Leonardo</t>
  </si>
  <si>
    <t>SISON, David P.</t>
  </si>
  <si>
    <t>Sityar, Michael</t>
  </si>
  <si>
    <t>SIY, MARVIN CHESTER C</t>
  </si>
  <si>
    <t>SO, Hanson Lennard</t>
  </si>
  <si>
    <t>SO, JACKNEIL</t>
  </si>
  <si>
    <t>Sobremonte, John Roger</t>
  </si>
  <si>
    <t>SOBREMONTE, ROGELIO BAUTISTA</t>
  </si>
  <si>
    <t>Son, EUNSEOK</t>
  </si>
  <si>
    <t>SON, NORBERT C</t>
  </si>
  <si>
    <t>Son, Young Ig</t>
  </si>
  <si>
    <t>SONG, TAE KEUN</t>
  </si>
  <si>
    <t>SORIANO, PAUL DAVID DEL MAR</t>
  </si>
  <si>
    <t>Soriquez, Luke</t>
  </si>
  <si>
    <t>SORIQUEZ, MARK LOUIE Mogar</t>
  </si>
  <si>
    <t>SORNET, DOROTEO</t>
  </si>
  <si>
    <t>STA. CRUZ, EMMANUEL</t>
  </si>
  <si>
    <t>STACEY, MICHAEL ANTONY JOCK</t>
  </si>
  <si>
    <t>STEHMEIER, ALAIN AUGUST "ACE"</t>
  </si>
  <si>
    <t>Subardiaga, Enrique P</t>
  </si>
  <si>
    <t>Sumadchat, Don</t>
  </si>
  <si>
    <t>Sumadchat, Teri</t>
  </si>
  <si>
    <t>Sung, Wookyung</t>
  </si>
  <si>
    <t>SUTINGCO, ARMANDO M</t>
  </si>
  <si>
    <t>Suzuki, Koji</t>
  </si>
  <si>
    <t>SY, ALEJANDRO C</t>
  </si>
  <si>
    <t>SY, BALTAZAR L.</t>
  </si>
  <si>
    <t>SY, FELIX JR L</t>
  </si>
  <si>
    <t>SY, LOGAN L.</t>
  </si>
  <si>
    <t>Sy, Philip John</t>
  </si>
  <si>
    <t>Sy, Sean Tyler Phoenix</t>
  </si>
  <si>
    <t>SY, TERRY   O.</t>
  </si>
  <si>
    <t>Sy, Timothy Joseph T.</t>
  </si>
  <si>
    <t>Syjuco, Leonard Martin</t>
  </si>
  <si>
    <t>Tabios, Christian Marc</t>
  </si>
  <si>
    <t>TABUENA, ARTHUR R</t>
  </si>
  <si>
    <t>Tagle, Frederick Vincent</t>
  </si>
  <si>
    <t>TAGLE, LEONIDES   JR   M.</t>
  </si>
  <si>
    <t>Takada, Tomoo</t>
  </si>
  <si>
    <t>TAKAHASHI, TSUGUSHI</t>
  </si>
  <si>
    <t>TAKUBO, TOSHIMASA</t>
  </si>
  <si>
    <t>Talimban Jr., Bernardo</t>
  </si>
  <si>
    <t>TAMAYO, GRAEME H</t>
  </si>
  <si>
    <t>TAMAYO, JOSELITO C</t>
  </si>
  <si>
    <t>TAN, ANTHONY LAWRENCE</t>
  </si>
  <si>
    <t>TAN, BRYAN PATRICK</t>
  </si>
  <si>
    <t>TAN, CHARLIE BROWN T.</t>
  </si>
  <si>
    <t>Tan, Daniel Keith S.</t>
  </si>
  <si>
    <t>TAN, DICKSON</t>
  </si>
  <si>
    <t>TAN, EDUARDO H</t>
  </si>
  <si>
    <t>TAN, ERWIN T</t>
  </si>
  <si>
    <t>TAN, FIDEL S</t>
  </si>
  <si>
    <t>TAN, GENARO C</t>
  </si>
  <si>
    <t>TAN, GEORGE SZE</t>
  </si>
  <si>
    <t>TAN, HENRY U</t>
  </si>
  <si>
    <t>TAN, JAMES Y.</t>
  </si>
  <si>
    <t>TAN, JERRY T.</t>
  </si>
  <si>
    <t>Tan, Karl Adrien Siy</t>
  </si>
  <si>
    <t>Tan, Kenhon</t>
  </si>
  <si>
    <t>TAN, KENNETH ROSS</t>
  </si>
  <si>
    <t>Tan, Kenric</t>
  </si>
  <si>
    <t>TAN, Mark Christian</t>
  </si>
  <si>
    <t>Tan, Mc Milan Chua</t>
  </si>
  <si>
    <t>TAN, MICHAEL G</t>
  </si>
  <si>
    <t>Tan, Patrick Justin</t>
  </si>
  <si>
    <t>TAN, ROBERT Y.</t>
  </si>
  <si>
    <t>TAN, RODOLFO J</t>
  </si>
  <si>
    <t>Tan, Ronald Santos</t>
  </si>
  <si>
    <t>Tan, Ryan Michael Go</t>
  </si>
  <si>
    <t>TAN, SAMUEL YOK YONG SAMMY</t>
  </si>
  <si>
    <t>Tan, Sean Justin</t>
  </si>
  <si>
    <t>TAN, STEPHEN Yu</t>
  </si>
  <si>
    <t>Tan, Tristan Marvin</t>
  </si>
  <si>
    <t>TAN, WILLIAM L</t>
  </si>
  <si>
    <t>Tanaka, Hiroto</t>
  </si>
  <si>
    <t>TANAKA, TSUGUHISA</t>
  </si>
  <si>
    <t>TANCHUAN, JERRY A</t>
  </si>
  <si>
    <t>TANO, ARTURO</t>
  </si>
  <si>
    <t>Tao, Yong</t>
  </si>
  <si>
    <t>TATSUMI, TOSHIO</t>
  </si>
  <si>
    <t>Tecson, Gregory Vincent</t>
  </si>
  <si>
    <t>TECSON, JENZ VINCENT</t>
  </si>
  <si>
    <t>TEE TEN, WAYNE NATHANIEL C.</t>
  </si>
  <si>
    <t>TEE TEN, WILLY Q</t>
  </si>
  <si>
    <t>TEE, CHING, DEMETRIO</t>
  </si>
  <si>
    <t>TEE, KENNEY L.</t>
  </si>
  <si>
    <t>Teng, Albern</t>
  </si>
  <si>
    <t>Teng, Alvin Chu</t>
  </si>
  <si>
    <t>TENG, Euclid</t>
  </si>
  <si>
    <t>TENG, FREDERICK C</t>
  </si>
  <si>
    <t>TENG, Reinhold Cleon</t>
  </si>
  <si>
    <t>Tengco, Charlo R.</t>
  </si>
  <si>
    <t>Teodoro, Charles John</t>
  </si>
  <si>
    <t>Teodoro, Cyrus John Daniel</t>
  </si>
  <si>
    <t>Teodoro, Jose Andrew D.</t>
  </si>
  <si>
    <t>TEODOSIO, ROBERTO</t>
  </si>
  <si>
    <t>TEVES, ABRAHAM C</t>
  </si>
  <si>
    <t>THELMO, EDMUND ROSS</t>
  </si>
  <si>
    <t>THELMO, EMILIO ROCIO</t>
  </si>
  <si>
    <t>TI, KENNETH</t>
  </si>
  <si>
    <t>TIANGCO, AZRAFIL ROBERT COMETA</t>
  </si>
  <si>
    <t>Tined, Alexander</t>
  </si>
  <si>
    <t>Tionson, Paul Angelo</t>
  </si>
  <si>
    <t>TIU, ROLANDO O</t>
  </si>
  <si>
    <t>TOBIAS, BARRY</t>
  </si>
  <si>
    <t>Tobias, Gian Franco</t>
  </si>
  <si>
    <t>TODA, TAKAHIRO</t>
  </si>
  <si>
    <t>TOH, ANTHONY CHEE HOCK B</t>
  </si>
  <si>
    <t>TOH, PHILLIP CHEE MENG B</t>
  </si>
  <si>
    <t>Toledo, Bromeo</t>
  </si>
  <si>
    <t>TOLENTINO, FLORENTINO U</t>
  </si>
  <si>
    <t>TOLENTINO, GILBERT L.</t>
  </si>
  <si>
    <t>Tolentino, Lanz</t>
  </si>
  <si>
    <t>Tolin, Joshua</t>
  </si>
  <si>
    <t>TONGO, CAESAR D.</t>
  </si>
  <si>
    <t>TORDESILLAS, EDGAR</t>
  </si>
  <si>
    <t>Torre III, Alfonso Luis Borgy</t>
  </si>
  <si>
    <t>TORRES, MANUEL "NOLY" HONORIO</t>
  </si>
  <si>
    <t>Trijo, Rommel</t>
  </si>
  <si>
    <t>TRINIDAD, MARVIN WILLIAM F</t>
  </si>
  <si>
    <t>Tsang, Kenneth</t>
  </si>
  <si>
    <t>TSUKAMOTO, HIDEYUKI</t>
  </si>
  <si>
    <t>TUASON, JOSE JAY A</t>
  </si>
  <si>
    <t>TUASON, JUAN CARLOS</t>
  </si>
  <si>
    <t>TUGADE, Jose Arturo (Jay Art)</t>
  </si>
  <si>
    <t>TUMBOCON, Emilio Lolito J. (lilit)</t>
  </si>
  <si>
    <t>TUQUIB, RAPHIE</t>
  </si>
  <si>
    <t>Turcuato, Jude</t>
  </si>
  <si>
    <t>TUSING, VILMOR C</t>
  </si>
  <si>
    <t>Tusing, Vilsaimon Alexander</t>
  </si>
  <si>
    <t>TY, Edwin John</t>
  </si>
  <si>
    <t>TY, PATRICK</t>
  </si>
  <si>
    <t>Ty, Sean Robert</t>
  </si>
  <si>
    <t>Ty, Victor</t>
  </si>
  <si>
    <t>UBALDO, LEOPOLDO</t>
  </si>
  <si>
    <t>ULGADO, Abelardo</t>
  </si>
  <si>
    <t>Umerez, Karl Eugene</t>
  </si>
  <si>
    <t>UNLAY, RAYMOND PETER "Pete"</t>
  </si>
  <si>
    <t>UY, BOBBY BERNARD S.</t>
  </si>
  <si>
    <t>Uy, Christian</t>
  </si>
  <si>
    <t>Uy, Jeremy Matthew</t>
  </si>
  <si>
    <t>UY, JEROME YAP</t>
  </si>
  <si>
    <t>Uy, Jorwen</t>
  </si>
  <si>
    <t>UY, NAPOLEON B</t>
  </si>
  <si>
    <t>UY, NEIL RYAN G</t>
  </si>
  <si>
    <t>UY, PAUL G</t>
  </si>
  <si>
    <t>UY, STEVEN S.</t>
  </si>
  <si>
    <t>VALDEZ, JAY A.</t>
  </si>
  <si>
    <t>VALENTIN JR., GERARDO JC</t>
  </si>
  <si>
    <t>Valenzuela, Jericho</t>
  </si>
  <si>
    <t>VALLE, Jesus L.</t>
  </si>
  <si>
    <t>Valle, Raiden Jmari</t>
  </si>
  <si>
    <t>Valle, Thor Jmari P.</t>
  </si>
  <si>
    <t>Van Gemert, Ralph Maria Henricus</t>
  </si>
  <si>
    <t>Varma, Arman</t>
  </si>
  <si>
    <t>Varma, Raj</t>
  </si>
  <si>
    <t>Vasaylaje, Remus Julian</t>
  </si>
  <si>
    <t>VASQUEZ, RAYMUND PAUL B.</t>
  </si>
  <si>
    <t>Velarde, Ino Miguel</t>
  </si>
  <si>
    <t>VELASCO, ARTHUR S.</t>
  </si>
  <si>
    <t>VELASQUEZ, GREGORIO</t>
  </si>
  <si>
    <t>Veloira, Matthew Ryan</t>
  </si>
  <si>
    <t>Veloira, Neil</t>
  </si>
  <si>
    <t>Velonza, Victorio Vic</t>
  </si>
  <si>
    <t>VELOSO JR, ROLAND GERARD junie</t>
  </si>
  <si>
    <t>VELUZ, ROBERTO TING I</t>
  </si>
  <si>
    <t>Veneracion, Kenneth Joseph</t>
  </si>
  <si>
    <t>VENTURA, IVAN DALE F.</t>
  </si>
  <si>
    <t>VERANO, GIL</t>
  </si>
  <si>
    <t>Verar, Gerardo</t>
  </si>
  <si>
    <t>Verar, Marvin Bryan</t>
  </si>
  <si>
    <t>Verceles, Justine Louis</t>
  </si>
  <si>
    <t>Verceles, Santiago M.</t>
  </si>
  <si>
    <t>VERGARA, GREGORIO A</t>
  </si>
  <si>
    <t>Vergara, Michael Angelo</t>
  </si>
  <si>
    <t>Versoza, Jesus</t>
  </si>
  <si>
    <t>VIBAL, EDGAR CABREDO</t>
  </si>
  <si>
    <t>VICTA, RUBEN R.</t>
  </si>
  <si>
    <t>VILLA, MARVIN TUGADE</t>
  </si>
  <si>
    <t>VILLACARLOS, GERARD C</t>
  </si>
  <si>
    <t>Villanueva, Carlos Antonio</t>
  </si>
  <si>
    <t>Villanueva, Donn Peter C.</t>
  </si>
  <si>
    <t>VILLANUEVA, JOSEPH D</t>
  </si>
  <si>
    <t>VILLANUEVA, Marlon M.</t>
  </si>
  <si>
    <t>Villanueva, Nick Asher</t>
  </si>
  <si>
    <t>VILLANUEVA, VICTOR M.</t>
  </si>
  <si>
    <t>Villanueva, Vincent</t>
  </si>
  <si>
    <t>Villar, Dennis</t>
  </si>
  <si>
    <t>VILLARMIA, FLORENTINO JUN M.</t>
  </si>
  <si>
    <t>Villegas, Celso</t>
  </si>
  <si>
    <t>VILLEGAS, VICTOR Y</t>
  </si>
  <si>
    <t>VILORIA, Edgardo M.</t>
  </si>
  <si>
    <t>VIOLA JR., GUILLERMO M</t>
  </si>
  <si>
    <t>VIRATA, REYNALDO G</t>
  </si>
  <si>
    <t>VISAYA, OSCAR</t>
  </si>
  <si>
    <t>VY, YAN WONG</t>
  </si>
  <si>
    <t>Wada, Makoto</t>
  </si>
  <si>
    <t>Wan, Min</t>
  </si>
  <si>
    <t>WANG, REN QUN WILLY ONG</t>
  </si>
  <si>
    <t>WEI, GEORGE</t>
  </si>
  <si>
    <t>WEIDMANN, JOHN DARREN</t>
  </si>
  <si>
    <t>WILSON, STEPHEN</t>
  </si>
  <si>
    <t>WONG, GEORGE T</t>
  </si>
  <si>
    <t>Wu, Chih-hao</t>
  </si>
  <si>
    <t>WU, CHUN-I</t>
  </si>
  <si>
    <t>Yamada, Meray</t>
  </si>
  <si>
    <t>Yamaguchi, Masaki</t>
  </si>
  <si>
    <t>YAMAJI, Shintaro</t>
  </si>
  <si>
    <t>YAMAWAKE, HIROSHI</t>
  </si>
  <si>
    <t>Yambao, Mark Allan G.</t>
  </si>
  <si>
    <t>Yambao, Miguel Lorenzo "Miko" V.</t>
  </si>
  <si>
    <t>YAN, MING</t>
  </si>
  <si>
    <t>YANG, GregoryG.</t>
  </si>
  <si>
    <t>YANG, KUK HYON</t>
  </si>
  <si>
    <t>Yang, Songwei</t>
  </si>
  <si>
    <t>YANG, TIMOTHY JAMES</t>
  </si>
  <si>
    <t>YANG, WILLIAM D</t>
  </si>
  <si>
    <t>Yao, Aldric</t>
  </si>
  <si>
    <t>Yao, Edwin</t>
  </si>
  <si>
    <t>Yaolim, Kerwin Miles</t>
  </si>
  <si>
    <t>Yap, Jose Justo S</t>
  </si>
  <si>
    <t>YAP, NELSON O</t>
  </si>
  <si>
    <t>YAPTENCO, DEXTER JOSE</t>
  </si>
  <si>
    <t>YAW, DENNIS RYAN L</t>
  </si>
  <si>
    <t>YbaÃ±ez, Allan Y.</t>
  </si>
  <si>
    <t>YBANEZ, Ernie G.</t>
  </si>
  <si>
    <t>Yeung, Kenn Derick</t>
  </si>
  <si>
    <t>Yokoda, Shisei</t>
  </si>
  <si>
    <t>Yoo, Jin Sang</t>
  </si>
  <si>
    <t>Yoo, Yang Woo</t>
  </si>
  <si>
    <t>YOON, BYEONG OK</t>
  </si>
  <si>
    <t>YOSHIDA, HIDEAKI</t>
  </si>
  <si>
    <t>Yoshimura, Kohei</t>
  </si>
  <si>
    <t>YOSHINO, NOBUO</t>
  </si>
  <si>
    <t>YOU, LEE CHIANG RICHARD HUANG</t>
  </si>
  <si>
    <t>YOUNG, WILBERT T</t>
  </si>
  <si>
    <t>Young, Wilson T</t>
  </si>
  <si>
    <t>YTURRI, JOSE ANTONIO</t>
  </si>
  <si>
    <t>Yu III, Ramoncito</t>
  </si>
  <si>
    <t>Yu, Carter Dennis</t>
  </si>
  <si>
    <t>YU, ERICSON O</t>
  </si>
  <si>
    <t>YU, ERNESTO V</t>
  </si>
  <si>
    <t>YU, FREDRICK RAYMUND "KARIM"</t>
  </si>
  <si>
    <t>YU, GILBERT C</t>
  </si>
  <si>
    <t>YU, HYUK SANG "Lorenz"</t>
  </si>
  <si>
    <t>Yu, Joseph S.</t>
  </si>
  <si>
    <t>YU, SEAN PATRICK</t>
  </si>
  <si>
    <t>Yulo, Jose Manuel Jugo</t>
  </si>
  <si>
    <t>Yun, Jangsik</t>
  </si>
  <si>
    <t>YUSI, PAULINO</t>
  </si>
  <si>
    <t>ZAMORA, ALVIN Gonzales</t>
  </si>
  <si>
    <t>Zamuco, Sunday C</t>
  </si>
  <si>
    <t>ZAMUCO, TYLER PHOENIX O</t>
  </si>
  <si>
    <t>Zantua, Nilo</t>
  </si>
  <si>
    <t>ZATA, JONATHAN</t>
  </si>
  <si>
    <t>ZETA, ROSENDO R</t>
  </si>
  <si>
    <t>Zhang, Benjamin Francis</t>
  </si>
  <si>
    <t>Zhang, Yang</t>
  </si>
  <si>
    <t>Zhao, Longquan</t>
  </si>
  <si>
    <t>ZIGA, CHRISTIAN</t>
  </si>
  <si>
    <t>Ziga, Markus Jacob</t>
  </si>
  <si>
    <t>ZUNIEGA, ARTHUR D</t>
  </si>
  <si>
    <t>As of September 16, 2026</t>
  </si>
  <si>
    <t>Adams, Leonidas Liam</t>
  </si>
  <si>
    <t>Bai, Yiming</t>
  </si>
  <si>
    <t>Ebol, Lance</t>
  </si>
  <si>
    <t>Gonzales, John Timothy</t>
  </si>
  <si>
    <t>Mateo, Jr., Primo</t>
  </si>
  <si>
    <t>Mojica, Jeffrey</t>
  </si>
  <si>
    <t>Reyes, Jai</t>
  </si>
  <si>
    <t>Varma, Arjun</t>
  </si>
  <si>
    <t>Bautista, Maria Asuncion S</t>
  </si>
  <si>
    <t>Gervacio, Francesca Hope</t>
  </si>
  <si>
    <t>Gonzales, Melody</t>
  </si>
  <si>
    <t>Queddeng, Emerald Bree</t>
  </si>
  <si>
    <t>Varma, Maria Concepcion</t>
  </si>
  <si>
    <t>Zhang, Bo</t>
  </si>
  <si>
    <t>ABAÑO, JEREMY JACOB Y</t>
  </si>
  <si>
    <t>ABAÑO, LUISITO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</si>
</sst>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3" x14ac:knownFonts="1">
    <font>
      <sz val="11"/>
      <color theme="1"/>
      <name val="Century Gothic"/>
      <family val="2"/>
    </font>
    <font>
      <sz val="11"/>
      <color theme="1"/>
      <name val="Century Gothic"/>
      <family val="2"/>
    </font>
    <font>
      <sz val="14.5"/>
      <name val="Times New Roman"/>
      <family val="1"/>
    </font>
    <font>
      <sz val="14.5"/>
      <name val="Arial"/>
      <family val="2"/>
    </font>
    <font>
      <b/>
      <sz val="18"/>
      <color rgb="FFFF000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8"/>
      <color rgb="FF0070C0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9"/>
      </patternFill>
    </fill>
    <fill>
      <patternFill patternType="solid">
        <fgColor rgb="FFFFFFCC"/>
        <bgColor indexed="9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43" fontId="6" fillId="0" borderId="0" xfId="1" applyFont="1" applyAlignment="1" applyProtection="1">
      <alignment vertical="center"/>
      <protection locked="0"/>
    </xf>
    <xf numFmtId="43" fontId="5" fillId="0" borderId="0" xfId="1" applyFont="1" applyAlignment="1" applyProtection="1">
      <alignment horizontal="center" vertical="center"/>
      <protection locked="0"/>
    </xf>
    <xf numFmtId="164" fontId="5" fillId="0" borderId="0" xfId="1" applyNumberFormat="1" applyFont="1" applyAlignment="1" applyProtection="1">
      <alignment horizontal="center" vertical="center"/>
      <protection locked="0"/>
    </xf>
    <xf numFmtId="1" fontId="5" fillId="0" borderId="0" xfId="1" applyNumberFormat="1" applyFont="1" applyAlignment="1" applyProtection="1">
      <alignment horizontal="center" vertical="center"/>
      <protection locked="0"/>
    </xf>
    <xf numFmtId="1" fontId="5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1" fontId="8" fillId="5" borderId="13" xfId="0" applyNumberFormat="1" applyFont="1" applyFill="1" applyBorder="1" applyAlignment="1" applyProtection="1">
      <alignment horizontal="center" vertical="center"/>
      <protection locked="0"/>
    </xf>
    <xf numFmtId="1" fontId="7" fillId="6" borderId="14" xfId="0" applyNumberFormat="1" applyFont="1" applyFill="1" applyBorder="1" applyAlignment="1" applyProtection="1">
      <alignment horizontal="center" vertical="center"/>
      <protection locked="0"/>
    </xf>
    <xf numFmtId="1" fontId="8" fillId="5" borderId="15" xfId="0" applyNumberFormat="1" applyFont="1" applyFill="1" applyBorder="1" applyAlignment="1" applyProtection="1">
      <alignment horizontal="center" vertical="center"/>
      <protection locked="0"/>
    </xf>
    <xf numFmtId="1" fontId="7" fillId="6" borderId="13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 shrinkToFit="1"/>
    </xf>
    <xf numFmtId="1" fontId="5" fillId="7" borderId="3" xfId="1" applyNumberFormat="1" applyFont="1" applyFill="1" applyBorder="1" applyAlignment="1" applyProtection="1">
      <alignment horizontal="center" vertical="center"/>
    </xf>
    <xf numFmtId="1" fontId="5" fillId="7" borderId="4" xfId="1" applyNumberFormat="1" applyFont="1" applyFill="1" applyBorder="1" applyAlignment="1" applyProtection="1">
      <alignment horizontal="center" vertical="center"/>
    </xf>
    <xf numFmtId="1" fontId="5" fillId="8" borderId="4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3" fontId="12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1" fontId="9" fillId="9" borderId="3" xfId="0" applyNumberFormat="1" applyFont="1" applyFill="1" applyBorder="1" applyAlignment="1">
      <alignment horizontal="center" vertical="center"/>
    </xf>
    <xf numFmtId="1" fontId="7" fillId="10" borderId="4" xfId="0" applyNumberFormat="1" applyFont="1" applyFill="1" applyBorder="1" applyAlignment="1">
      <alignment horizontal="center" vertical="center"/>
    </xf>
    <xf numFmtId="1" fontId="7" fillId="11" borderId="4" xfId="0" applyNumberFormat="1" applyFont="1" applyFill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9" fillId="9" borderId="4" xfId="0" applyNumberFormat="1" applyFont="1" applyFill="1" applyBorder="1" applyAlignment="1">
      <alignment horizontal="center" vertical="center"/>
    </xf>
    <xf numFmtId="1" fontId="5" fillId="12" borderId="3" xfId="1" applyNumberFormat="1" applyFont="1" applyFill="1" applyBorder="1" applyAlignment="1">
      <alignment horizontal="center" vertical="center"/>
    </xf>
    <xf numFmtId="1" fontId="5" fillId="12" borderId="4" xfId="1" applyNumberFormat="1" applyFont="1" applyFill="1" applyBorder="1" applyAlignment="1">
      <alignment horizontal="center" vertical="center"/>
    </xf>
    <xf numFmtId="1" fontId="5" fillId="13" borderId="4" xfId="1" applyNumberFormat="1" applyFont="1" applyFill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11" fillId="0" borderId="0" xfId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7" fillId="2" borderId="1" xfId="1" applyFont="1" applyFill="1" applyBorder="1" applyAlignment="1">
      <alignment horizontal="center" vertical="center"/>
    </xf>
    <xf numFmtId="43" fontId="7" fillId="2" borderId="5" xfId="1" applyFont="1" applyFill="1" applyBorder="1" applyAlignment="1">
      <alignment horizontal="center" vertical="center"/>
    </xf>
    <xf numFmtId="43" fontId="7" fillId="2" borderId="10" xfId="1" applyFont="1" applyFill="1" applyBorder="1" applyAlignment="1">
      <alignment horizontal="center" vertical="center"/>
    </xf>
    <xf numFmtId="43" fontId="7" fillId="2" borderId="2" xfId="1" applyFont="1" applyFill="1" applyBorder="1" applyAlignment="1">
      <alignment horizontal="center" vertical="center" shrinkToFit="1"/>
    </xf>
    <xf numFmtId="43" fontId="7" fillId="2" borderId="6" xfId="1" applyFont="1" applyFill="1" applyBorder="1" applyAlignment="1">
      <alignment horizontal="center" vertical="center" shrinkToFit="1"/>
    </xf>
    <xf numFmtId="43" fontId="7" fillId="2" borderId="11" xfId="1" applyFont="1" applyFill="1" applyBorder="1" applyAlignment="1">
      <alignment horizontal="center" vertical="center" shrinkToFi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164" fontId="7" fillId="2" borderId="11" xfId="1" applyNumberFormat="1" applyFont="1" applyFill="1" applyBorder="1" applyAlignment="1">
      <alignment horizontal="center" vertical="center" wrapText="1"/>
    </xf>
    <xf numFmtId="1" fontId="9" fillId="3" borderId="16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1" fontId="9" fillId="4" borderId="17" xfId="0" applyNumberFormat="1" applyFont="1" applyFill="1" applyBorder="1" applyAlignment="1">
      <alignment horizontal="center" vertical="center"/>
    </xf>
    <xf numFmtId="1" fontId="9" fillId="4" borderId="16" xfId="0" applyNumberFormat="1" applyFont="1" applyFill="1" applyBorder="1" applyAlignment="1">
      <alignment horizontal="center" vertical="center"/>
    </xf>
    <xf numFmtId="1" fontId="9" fillId="4" borderId="3" xfId="0" applyNumberFormat="1" applyFont="1" applyFill="1" applyBorder="1" applyAlignment="1">
      <alignment horizontal="center" vertical="center"/>
    </xf>
    <xf numFmtId="1" fontId="7" fillId="2" borderId="16" xfId="0" applyNumberFormat="1" applyFont="1" applyFill="1" applyBorder="1" applyAlignment="1">
      <alignment horizontal="center" vertical="center"/>
    </xf>
    <xf numFmtId="1" fontId="7" fillId="2" borderId="18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>
      <alignment horizontal="center" vertical="center"/>
    </xf>
    <xf numFmtId="43" fontId="2" fillId="0" borderId="0" xfId="1" applyFont="1" applyAlignment="1" applyProtection="1">
      <alignment horizontal="center" vertical="center"/>
      <protection locked="0"/>
    </xf>
    <xf numFmtId="43" fontId="4" fillId="0" borderId="0" xfId="1" applyFont="1" applyAlignment="1" applyProtection="1">
      <alignment horizontal="center" vertical="center"/>
      <protection locked="0"/>
    </xf>
    <xf numFmtId="43" fontId="6" fillId="0" borderId="0" xfId="1" applyFont="1" applyAlignment="1" applyProtection="1">
      <alignment horizontal="center" vertical="center"/>
      <protection locked="0"/>
    </xf>
    <xf numFmtId="43" fontId="7" fillId="2" borderId="1" xfId="1" applyFont="1" applyFill="1" applyBorder="1" applyAlignment="1" applyProtection="1">
      <alignment horizontal="center" vertical="center"/>
      <protection locked="0"/>
    </xf>
    <xf numFmtId="43" fontId="7" fillId="2" borderId="5" xfId="1" applyFont="1" applyFill="1" applyBorder="1" applyAlignment="1" applyProtection="1">
      <alignment horizontal="center" vertical="center"/>
      <protection locked="0"/>
    </xf>
    <xf numFmtId="43" fontId="7" fillId="2" borderId="10" xfId="1" applyFont="1" applyFill="1" applyBorder="1" applyAlignment="1" applyProtection="1">
      <alignment horizontal="center" vertical="center"/>
      <protection locked="0"/>
    </xf>
    <xf numFmtId="43" fontId="7" fillId="2" borderId="2" xfId="1" applyFont="1" applyFill="1" applyBorder="1" applyAlignment="1" applyProtection="1">
      <alignment horizontal="center" vertical="center"/>
      <protection locked="0"/>
    </xf>
    <xf numFmtId="43" fontId="7" fillId="2" borderId="6" xfId="1" applyFont="1" applyFill="1" applyBorder="1" applyAlignment="1" applyProtection="1">
      <alignment horizontal="center" vertical="center"/>
      <protection locked="0"/>
    </xf>
    <xf numFmtId="43" fontId="7" fillId="2" borderId="11" xfId="1" applyFont="1" applyFill="1" applyBorder="1" applyAlignment="1" applyProtection="1">
      <alignment horizontal="center" vertical="center"/>
      <protection locked="0"/>
    </xf>
    <xf numFmtId="164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6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2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3" xfId="0" applyNumberFormat="1" applyFont="1" applyFill="1" applyBorder="1" applyAlignment="1" applyProtection="1">
      <alignment horizontal="center" vertical="center"/>
      <protection locked="0"/>
    </xf>
    <xf numFmtId="1" fontId="8" fillId="3" borderId="4" xfId="0" applyNumberFormat="1" applyFont="1" applyFill="1" applyBorder="1" applyAlignment="1" applyProtection="1">
      <alignment horizontal="center" vertical="center"/>
      <protection locked="0"/>
    </xf>
    <xf numFmtId="1" fontId="9" fillId="4" borderId="4" xfId="0" applyNumberFormat="1" applyFont="1" applyFill="1" applyBorder="1" applyAlignment="1" applyProtection="1">
      <alignment horizontal="center" vertical="center"/>
      <protection locked="0"/>
    </xf>
    <xf numFmtId="1" fontId="7" fillId="2" borderId="7" xfId="0" applyNumberFormat="1" applyFont="1" applyFill="1" applyBorder="1" applyAlignment="1" applyProtection="1">
      <alignment horizontal="center" vertical="center"/>
      <protection locked="0"/>
    </xf>
    <xf numFmtId="1" fontId="7" fillId="2" borderId="8" xfId="0" applyNumberFormat="1" applyFont="1" applyFill="1" applyBorder="1" applyAlignment="1" applyProtection="1">
      <alignment horizontal="center" vertical="center"/>
      <protection locked="0"/>
    </xf>
    <xf numFmtId="1" fontId="7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shrinkToFit="1"/>
    </xf>
    <xf numFmtId="43" fontId="5" fillId="0" borderId="0" xfId="1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4AA2-7971-45B1-87F4-33CA5CD5653B}">
  <sheetPr>
    <pageSetUpPr fitToPage="1"/>
  </sheetPr>
  <dimension ref="A1:K1576"/>
  <sheetViews>
    <sheetView tabSelected="1" workbookViewId="0">
      <selection activeCell="B10" sqref="B10"/>
    </sheetView>
  </sheetViews>
  <sheetFormatPr defaultColWidth="9" defaultRowHeight="13.8" x14ac:dyDescent="0.25"/>
  <cols>
    <col min="1" max="1" width="10.19921875" style="22" customWidth="1"/>
    <col min="2" max="2" width="38.796875" style="73" customWidth="1"/>
    <col min="3" max="3" width="10.19921875" style="23" customWidth="1"/>
    <col min="4" max="11" width="8.19921875" style="22" customWidth="1"/>
    <col min="12" max="249" width="8.69921875" style="25" customWidth="1"/>
    <col min="250" max="250" width="10.19921875" style="25" customWidth="1"/>
    <col min="251" max="251" width="38.796875" style="25" customWidth="1"/>
    <col min="252" max="252" width="10.19921875" style="25" customWidth="1"/>
    <col min="253" max="256" width="9" style="25"/>
    <col min="257" max="257" width="10.19921875" style="25" customWidth="1"/>
    <col min="258" max="258" width="38.796875" style="25" customWidth="1"/>
    <col min="259" max="259" width="10.19921875" style="25" customWidth="1"/>
    <col min="260" max="267" width="8.19921875" style="25" customWidth="1"/>
    <col min="268" max="505" width="8.69921875" style="25" customWidth="1"/>
    <col min="506" max="506" width="10.19921875" style="25" customWidth="1"/>
    <col min="507" max="507" width="38.796875" style="25" customWidth="1"/>
    <col min="508" max="508" width="10.19921875" style="25" customWidth="1"/>
    <col min="509" max="512" width="9" style="25"/>
    <col min="513" max="513" width="10.19921875" style="25" customWidth="1"/>
    <col min="514" max="514" width="38.796875" style="25" customWidth="1"/>
    <col min="515" max="515" width="10.19921875" style="25" customWidth="1"/>
    <col min="516" max="523" width="8.19921875" style="25" customWidth="1"/>
    <col min="524" max="761" width="8.69921875" style="25" customWidth="1"/>
    <col min="762" max="762" width="10.19921875" style="25" customWidth="1"/>
    <col min="763" max="763" width="38.796875" style="25" customWidth="1"/>
    <col min="764" max="764" width="10.19921875" style="25" customWidth="1"/>
    <col min="765" max="768" width="9" style="25"/>
    <col min="769" max="769" width="10.19921875" style="25" customWidth="1"/>
    <col min="770" max="770" width="38.796875" style="25" customWidth="1"/>
    <col min="771" max="771" width="10.19921875" style="25" customWidth="1"/>
    <col min="772" max="779" width="8.19921875" style="25" customWidth="1"/>
    <col min="780" max="1017" width="8.69921875" style="25" customWidth="1"/>
    <col min="1018" max="1018" width="10.19921875" style="25" customWidth="1"/>
    <col min="1019" max="1019" width="38.796875" style="25" customWidth="1"/>
    <col min="1020" max="1020" width="10.19921875" style="25" customWidth="1"/>
    <col min="1021" max="1024" width="9" style="25"/>
    <col min="1025" max="1025" width="10.19921875" style="25" customWidth="1"/>
    <col min="1026" max="1026" width="38.796875" style="25" customWidth="1"/>
    <col min="1027" max="1027" width="10.19921875" style="25" customWidth="1"/>
    <col min="1028" max="1035" width="8.19921875" style="25" customWidth="1"/>
    <col min="1036" max="1273" width="8.69921875" style="25" customWidth="1"/>
    <col min="1274" max="1274" width="10.19921875" style="25" customWidth="1"/>
    <col min="1275" max="1275" width="38.796875" style="25" customWidth="1"/>
    <col min="1276" max="1276" width="10.19921875" style="25" customWidth="1"/>
    <col min="1277" max="1280" width="9" style="25"/>
    <col min="1281" max="1281" width="10.19921875" style="25" customWidth="1"/>
    <col min="1282" max="1282" width="38.796875" style="25" customWidth="1"/>
    <col min="1283" max="1283" width="10.19921875" style="25" customWidth="1"/>
    <col min="1284" max="1291" width="8.19921875" style="25" customWidth="1"/>
    <col min="1292" max="1529" width="8.69921875" style="25" customWidth="1"/>
    <col min="1530" max="1530" width="10.19921875" style="25" customWidth="1"/>
    <col min="1531" max="1531" width="38.796875" style="25" customWidth="1"/>
    <col min="1532" max="1532" width="10.19921875" style="25" customWidth="1"/>
    <col min="1533" max="1536" width="9" style="25"/>
    <col min="1537" max="1537" width="10.19921875" style="25" customWidth="1"/>
    <col min="1538" max="1538" width="38.796875" style="25" customWidth="1"/>
    <col min="1539" max="1539" width="10.19921875" style="25" customWidth="1"/>
    <col min="1540" max="1547" width="8.19921875" style="25" customWidth="1"/>
    <col min="1548" max="1785" width="8.69921875" style="25" customWidth="1"/>
    <col min="1786" max="1786" width="10.19921875" style="25" customWidth="1"/>
    <col min="1787" max="1787" width="38.796875" style="25" customWidth="1"/>
    <col min="1788" max="1788" width="10.19921875" style="25" customWidth="1"/>
    <col min="1789" max="1792" width="9" style="25"/>
    <col min="1793" max="1793" width="10.19921875" style="25" customWidth="1"/>
    <col min="1794" max="1794" width="38.796875" style="25" customWidth="1"/>
    <col min="1795" max="1795" width="10.19921875" style="25" customWidth="1"/>
    <col min="1796" max="1803" width="8.19921875" style="25" customWidth="1"/>
    <col min="1804" max="2041" width="8.69921875" style="25" customWidth="1"/>
    <col min="2042" max="2042" width="10.19921875" style="25" customWidth="1"/>
    <col min="2043" max="2043" width="38.796875" style="25" customWidth="1"/>
    <col min="2044" max="2044" width="10.19921875" style="25" customWidth="1"/>
    <col min="2045" max="2048" width="9" style="25"/>
    <col min="2049" max="2049" width="10.19921875" style="25" customWidth="1"/>
    <col min="2050" max="2050" width="38.796875" style="25" customWidth="1"/>
    <col min="2051" max="2051" width="10.19921875" style="25" customWidth="1"/>
    <col min="2052" max="2059" width="8.19921875" style="25" customWidth="1"/>
    <col min="2060" max="2297" width="8.69921875" style="25" customWidth="1"/>
    <col min="2298" max="2298" width="10.19921875" style="25" customWidth="1"/>
    <col min="2299" max="2299" width="38.796875" style="25" customWidth="1"/>
    <col min="2300" max="2300" width="10.19921875" style="25" customWidth="1"/>
    <col min="2301" max="2304" width="9" style="25"/>
    <col min="2305" max="2305" width="10.19921875" style="25" customWidth="1"/>
    <col min="2306" max="2306" width="38.796875" style="25" customWidth="1"/>
    <col min="2307" max="2307" width="10.19921875" style="25" customWidth="1"/>
    <col min="2308" max="2315" width="8.19921875" style="25" customWidth="1"/>
    <col min="2316" max="2553" width="8.69921875" style="25" customWidth="1"/>
    <col min="2554" max="2554" width="10.19921875" style="25" customWidth="1"/>
    <col min="2555" max="2555" width="38.796875" style="25" customWidth="1"/>
    <col min="2556" max="2556" width="10.19921875" style="25" customWidth="1"/>
    <col min="2557" max="2560" width="9" style="25"/>
    <col min="2561" max="2561" width="10.19921875" style="25" customWidth="1"/>
    <col min="2562" max="2562" width="38.796875" style="25" customWidth="1"/>
    <col min="2563" max="2563" width="10.19921875" style="25" customWidth="1"/>
    <col min="2564" max="2571" width="8.19921875" style="25" customWidth="1"/>
    <col min="2572" max="2809" width="8.69921875" style="25" customWidth="1"/>
    <col min="2810" max="2810" width="10.19921875" style="25" customWidth="1"/>
    <col min="2811" max="2811" width="38.796875" style="25" customWidth="1"/>
    <col min="2812" max="2812" width="10.19921875" style="25" customWidth="1"/>
    <col min="2813" max="2816" width="9" style="25"/>
    <col min="2817" max="2817" width="10.19921875" style="25" customWidth="1"/>
    <col min="2818" max="2818" width="38.796875" style="25" customWidth="1"/>
    <col min="2819" max="2819" width="10.19921875" style="25" customWidth="1"/>
    <col min="2820" max="2827" width="8.19921875" style="25" customWidth="1"/>
    <col min="2828" max="3065" width="8.69921875" style="25" customWidth="1"/>
    <col min="3066" max="3066" width="10.19921875" style="25" customWidth="1"/>
    <col min="3067" max="3067" width="38.796875" style="25" customWidth="1"/>
    <col min="3068" max="3068" width="10.19921875" style="25" customWidth="1"/>
    <col min="3069" max="3072" width="9" style="25"/>
    <col min="3073" max="3073" width="10.19921875" style="25" customWidth="1"/>
    <col min="3074" max="3074" width="38.796875" style="25" customWidth="1"/>
    <col min="3075" max="3075" width="10.19921875" style="25" customWidth="1"/>
    <col min="3076" max="3083" width="8.19921875" style="25" customWidth="1"/>
    <col min="3084" max="3321" width="8.69921875" style="25" customWidth="1"/>
    <col min="3322" max="3322" width="10.19921875" style="25" customWidth="1"/>
    <col min="3323" max="3323" width="38.796875" style="25" customWidth="1"/>
    <col min="3324" max="3324" width="10.19921875" style="25" customWidth="1"/>
    <col min="3325" max="3328" width="9" style="25"/>
    <col min="3329" max="3329" width="10.19921875" style="25" customWidth="1"/>
    <col min="3330" max="3330" width="38.796875" style="25" customWidth="1"/>
    <col min="3331" max="3331" width="10.19921875" style="25" customWidth="1"/>
    <col min="3332" max="3339" width="8.19921875" style="25" customWidth="1"/>
    <col min="3340" max="3577" width="8.69921875" style="25" customWidth="1"/>
    <col min="3578" max="3578" width="10.19921875" style="25" customWidth="1"/>
    <col min="3579" max="3579" width="38.796875" style="25" customWidth="1"/>
    <col min="3580" max="3580" width="10.19921875" style="25" customWidth="1"/>
    <col min="3581" max="3584" width="9" style="25"/>
    <col min="3585" max="3585" width="10.19921875" style="25" customWidth="1"/>
    <col min="3586" max="3586" width="38.796875" style="25" customWidth="1"/>
    <col min="3587" max="3587" width="10.19921875" style="25" customWidth="1"/>
    <col min="3588" max="3595" width="8.19921875" style="25" customWidth="1"/>
    <col min="3596" max="3833" width="8.69921875" style="25" customWidth="1"/>
    <col min="3834" max="3834" width="10.19921875" style="25" customWidth="1"/>
    <col min="3835" max="3835" width="38.796875" style="25" customWidth="1"/>
    <col min="3836" max="3836" width="10.19921875" style="25" customWidth="1"/>
    <col min="3837" max="3840" width="9" style="25"/>
    <col min="3841" max="3841" width="10.19921875" style="25" customWidth="1"/>
    <col min="3842" max="3842" width="38.796875" style="25" customWidth="1"/>
    <col min="3843" max="3843" width="10.19921875" style="25" customWidth="1"/>
    <col min="3844" max="3851" width="8.19921875" style="25" customWidth="1"/>
    <col min="3852" max="4089" width="8.69921875" style="25" customWidth="1"/>
    <col min="4090" max="4090" width="10.19921875" style="25" customWidth="1"/>
    <col min="4091" max="4091" width="38.796875" style="25" customWidth="1"/>
    <col min="4092" max="4092" width="10.19921875" style="25" customWidth="1"/>
    <col min="4093" max="4096" width="9" style="25"/>
    <col min="4097" max="4097" width="10.19921875" style="25" customWidth="1"/>
    <col min="4098" max="4098" width="38.796875" style="25" customWidth="1"/>
    <col min="4099" max="4099" width="10.19921875" style="25" customWidth="1"/>
    <col min="4100" max="4107" width="8.19921875" style="25" customWidth="1"/>
    <col min="4108" max="4345" width="8.69921875" style="25" customWidth="1"/>
    <col min="4346" max="4346" width="10.19921875" style="25" customWidth="1"/>
    <col min="4347" max="4347" width="38.796875" style="25" customWidth="1"/>
    <col min="4348" max="4348" width="10.19921875" style="25" customWidth="1"/>
    <col min="4349" max="4352" width="9" style="25"/>
    <col min="4353" max="4353" width="10.19921875" style="25" customWidth="1"/>
    <col min="4354" max="4354" width="38.796875" style="25" customWidth="1"/>
    <col min="4355" max="4355" width="10.19921875" style="25" customWidth="1"/>
    <col min="4356" max="4363" width="8.19921875" style="25" customWidth="1"/>
    <col min="4364" max="4601" width="8.69921875" style="25" customWidth="1"/>
    <col min="4602" max="4602" width="10.19921875" style="25" customWidth="1"/>
    <col min="4603" max="4603" width="38.796875" style="25" customWidth="1"/>
    <col min="4604" max="4604" width="10.19921875" style="25" customWidth="1"/>
    <col min="4605" max="4608" width="9" style="25"/>
    <col min="4609" max="4609" width="10.19921875" style="25" customWidth="1"/>
    <col min="4610" max="4610" width="38.796875" style="25" customWidth="1"/>
    <col min="4611" max="4611" width="10.19921875" style="25" customWidth="1"/>
    <col min="4612" max="4619" width="8.19921875" style="25" customWidth="1"/>
    <col min="4620" max="4857" width="8.69921875" style="25" customWidth="1"/>
    <col min="4858" max="4858" width="10.19921875" style="25" customWidth="1"/>
    <col min="4859" max="4859" width="38.796875" style="25" customWidth="1"/>
    <col min="4860" max="4860" width="10.19921875" style="25" customWidth="1"/>
    <col min="4861" max="4864" width="9" style="25"/>
    <col min="4865" max="4865" width="10.19921875" style="25" customWidth="1"/>
    <col min="4866" max="4866" width="38.796875" style="25" customWidth="1"/>
    <col min="4867" max="4867" width="10.19921875" style="25" customWidth="1"/>
    <col min="4868" max="4875" width="8.19921875" style="25" customWidth="1"/>
    <col min="4876" max="5113" width="8.69921875" style="25" customWidth="1"/>
    <col min="5114" max="5114" width="10.19921875" style="25" customWidth="1"/>
    <col min="5115" max="5115" width="38.796875" style="25" customWidth="1"/>
    <col min="5116" max="5116" width="10.19921875" style="25" customWidth="1"/>
    <col min="5117" max="5120" width="9" style="25"/>
    <col min="5121" max="5121" width="10.19921875" style="25" customWidth="1"/>
    <col min="5122" max="5122" width="38.796875" style="25" customWidth="1"/>
    <col min="5123" max="5123" width="10.19921875" style="25" customWidth="1"/>
    <col min="5124" max="5131" width="8.19921875" style="25" customWidth="1"/>
    <col min="5132" max="5369" width="8.69921875" style="25" customWidth="1"/>
    <col min="5370" max="5370" width="10.19921875" style="25" customWidth="1"/>
    <col min="5371" max="5371" width="38.796875" style="25" customWidth="1"/>
    <col min="5372" max="5372" width="10.19921875" style="25" customWidth="1"/>
    <col min="5373" max="5376" width="9" style="25"/>
    <col min="5377" max="5377" width="10.19921875" style="25" customWidth="1"/>
    <col min="5378" max="5378" width="38.796875" style="25" customWidth="1"/>
    <col min="5379" max="5379" width="10.19921875" style="25" customWidth="1"/>
    <col min="5380" max="5387" width="8.19921875" style="25" customWidth="1"/>
    <col min="5388" max="5625" width="8.69921875" style="25" customWidth="1"/>
    <col min="5626" max="5626" width="10.19921875" style="25" customWidth="1"/>
    <col min="5627" max="5627" width="38.796875" style="25" customWidth="1"/>
    <col min="5628" max="5628" width="10.19921875" style="25" customWidth="1"/>
    <col min="5629" max="5632" width="9" style="25"/>
    <col min="5633" max="5633" width="10.19921875" style="25" customWidth="1"/>
    <col min="5634" max="5634" width="38.796875" style="25" customWidth="1"/>
    <col min="5635" max="5635" width="10.19921875" style="25" customWidth="1"/>
    <col min="5636" max="5643" width="8.19921875" style="25" customWidth="1"/>
    <col min="5644" max="5881" width="8.69921875" style="25" customWidth="1"/>
    <col min="5882" max="5882" width="10.19921875" style="25" customWidth="1"/>
    <col min="5883" max="5883" width="38.796875" style="25" customWidth="1"/>
    <col min="5884" max="5884" width="10.19921875" style="25" customWidth="1"/>
    <col min="5885" max="5888" width="9" style="25"/>
    <col min="5889" max="5889" width="10.19921875" style="25" customWidth="1"/>
    <col min="5890" max="5890" width="38.796875" style="25" customWidth="1"/>
    <col min="5891" max="5891" width="10.19921875" style="25" customWidth="1"/>
    <col min="5892" max="5899" width="8.19921875" style="25" customWidth="1"/>
    <col min="5900" max="6137" width="8.69921875" style="25" customWidth="1"/>
    <col min="6138" max="6138" width="10.19921875" style="25" customWidth="1"/>
    <col min="6139" max="6139" width="38.796875" style="25" customWidth="1"/>
    <col min="6140" max="6140" width="10.19921875" style="25" customWidth="1"/>
    <col min="6141" max="6144" width="9" style="25"/>
    <col min="6145" max="6145" width="10.19921875" style="25" customWidth="1"/>
    <col min="6146" max="6146" width="38.796875" style="25" customWidth="1"/>
    <col min="6147" max="6147" width="10.19921875" style="25" customWidth="1"/>
    <col min="6148" max="6155" width="8.19921875" style="25" customWidth="1"/>
    <col min="6156" max="6393" width="8.69921875" style="25" customWidth="1"/>
    <col min="6394" max="6394" width="10.19921875" style="25" customWidth="1"/>
    <col min="6395" max="6395" width="38.796875" style="25" customWidth="1"/>
    <col min="6396" max="6396" width="10.19921875" style="25" customWidth="1"/>
    <col min="6397" max="6400" width="9" style="25"/>
    <col min="6401" max="6401" width="10.19921875" style="25" customWidth="1"/>
    <col min="6402" max="6402" width="38.796875" style="25" customWidth="1"/>
    <col min="6403" max="6403" width="10.19921875" style="25" customWidth="1"/>
    <col min="6404" max="6411" width="8.19921875" style="25" customWidth="1"/>
    <col min="6412" max="6649" width="8.69921875" style="25" customWidth="1"/>
    <col min="6650" max="6650" width="10.19921875" style="25" customWidth="1"/>
    <col min="6651" max="6651" width="38.796875" style="25" customWidth="1"/>
    <col min="6652" max="6652" width="10.19921875" style="25" customWidth="1"/>
    <col min="6653" max="6656" width="9" style="25"/>
    <col min="6657" max="6657" width="10.19921875" style="25" customWidth="1"/>
    <col min="6658" max="6658" width="38.796875" style="25" customWidth="1"/>
    <col min="6659" max="6659" width="10.19921875" style="25" customWidth="1"/>
    <col min="6660" max="6667" width="8.19921875" style="25" customWidth="1"/>
    <col min="6668" max="6905" width="8.69921875" style="25" customWidth="1"/>
    <col min="6906" max="6906" width="10.19921875" style="25" customWidth="1"/>
    <col min="6907" max="6907" width="38.796875" style="25" customWidth="1"/>
    <col min="6908" max="6908" width="10.19921875" style="25" customWidth="1"/>
    <col min="6909" max="6912" width="9" style="25"/>
    <col min="6913" max="6913" width="10.19921875" style="25" customWidth="1"/>
    <col min="6914" max="6914" width="38.796875" style="25" customWidth="1"/>
    <col min="6915" max="6915" width="10.19921875" style="25" customWidth="1"/>
    <col min="6916" max="6923" width="8.19921875" style="25" customWidth="1"/>
    <col min="6924" max="7161" width="8.69921875" style="25" customWidth="1"/>
    <col min="7162" max="7162" width="10.19921875" style="25" customWidth="1"/>
    <col min="7163" max="7163" width="38.796875" style="25" customWidth="1"/>
    <col min="7164" max="7164" width="10.19921875" style="25" customWidth="1"/>
    <col min="7165" max="7168" width="9" style="25"/>
    <col min="7169" max="7169" width="10.19921875" style="25" customWidth="1"/>
    <col min="7170" max="7170" width="38.796875" style="25" customWidth="1"/>
    <col min="7171" max="7171" width="10.19921875" style="25" customWidth="1"/>
    <col min="7172" max="7179" width="8.19921875" style="25" customWidth="1"/>
    <col min="7180" max="7417" width="8.69921875" style="25" customWidth="1"/>
    <col min="7418" max="7418" width="10.19921875" style="25" customWidth="1"/>
    <col min="7419" max="7419" width="38.796875" style="25" customWidth="1"/>
    <col min="7420" max="7420" width="10.19921875" style="25" customWidth="1"/>
    <col min="7421" max="7424" width="9" style="25"/>
    <col min="7425" max="7425" width="10.19921875" style="25" customWidth="1"/>
    <col min="7426" max="7426" width="38.796875" style="25" customWidth="1"/>
    <col min="7427" max="7427" width="10.19921875" style="25" customWidth="1"/>
    <col min="7428" max="7435" width="8.19921875" style="25" customWidth="1"/>
    <col min="7436" max="7673" width="8.69921875" style="25" customWidth="1"/>
    <col min="7674" max="7674" width="10.19921875" style="25" customWidth="1"/>
    <col min="7675" max="7675" width="38.796875" style="25" customWidth="1"/>
    <col min="7676" max="7676" width="10.19921875" style="25" customWidth="1"/>
    <col min="7677" max="7680" width="9" style="25"/>
    <col min="7681" max="7681" width="10.19921875" style="25" customWidth="1"/>
    <col min="7682" max="7682" width="38.796875" style="25" customWidth="1"/>
    <col min="7683" max="7683" width="10.19921875" style="25" customWidth="1"/>
    <col min="7684" max="7691" width="8.19921875" style="25" customWidth="1"/>
    <col min="7692" max="7929" width="8.69921875" style="25" customWidth="1"/>
    <col min="7930" max="7930" width="10.19921875" style="25" customWidth="1"/>
    <col min="7931" max="7931" width="38.796875" style="25" customWidth="1"/>
    <col min="7932" max="7932" width="10.19921875" style="25" customWidth="1"/>
    <col min="7933" max="7936" width="9" style="25"/>
    <col min="7937" max="7937" width="10.19921875" style="25" customWidth="1"/>
    <col min="7938" max="7938" width="38.796875" style="25" customWidth="1"/>
    <col min="7939" max="7939" width="10.19921875" style="25" customWidth="1"/>
    <col min="7940" max="7947" width="8.19921875" style="25" customWidth="1"/>
    <col min="7948" max="8185" width="8.69921875" style="25" customWidth="1"/>
    <col min="8186" max="8186" width="10.19921875" style="25" customWidth="1"/>
    <col min="8187" max="8187" width="38.796875" style="25" customWidth="1"/>
    <col min="8188" max="8188" width="10.19921875" style="25" customWidth="1"/>
    <col min="8189" max="8192" width="9" style="25"/>
    <col min="8193" max="8193" width="10.19921875" style="25" customWidth="1"/>
    <col min="8194" max="8194" width="38.796875" style="25" customWidth="1"/>
    <col min="8195" max="8195" width="10.19921875" style="25" customWidth="1"/>
    <col min="8196" max="8203" width="8.19921875" style="25" customWidth="1"/>
    <col min="8204" max="8441" width="8.69921875" style="25" customWidth="1"/>
    <col min="8442" max="8442" width="10.19921875" style="25" customWidth="1"/>
    <col min="8443" max="8443" width="38.796875" style="25" customWidth="1"/>
    <col min="8444" max="8444" width="10.19921875" style="25" customWidth="1"/>
    <col min="8445" max="8448" width="9" style="25"/>
    <col min="8449" max="8449" width="10.19921875" style="25" customWidth="1"/>
    <col min="8450" max="8450" width="38.796875" style="25" customWidth="1"/>
    <col min="8451" max="8451" width="10.19921875" style="25" customWidth="1"/>
    <col min="8452" max="8459" width="8.19921875" style="25" customWidth="1"/>
    <col min="8460" max="8697" width="8.69921875" style="25" customWidth="1"/>
    <col min="8698" max="8698" width="10.19921875" style="25" customWidth="1"/>
    <col min="8699" max="8699" width="38.796875" style="25" customWidth="1"/>
    <col min="8700" max="8700" width="10.19921875" style="25" customWidth="1"/>
    <col min="8701" max="8704" width="9" style="25"/>
    <col min="8705" max="8705" width="10.19921875" style="25" customWidth="1"/>
    <col min="8706" max="8706" width="38.796875" style="25" customWidth="1"/>
    <col min="8707" max="8707" width="10.19921875" style="25" customWidth="1"/>
    <col min="8708" max="8715" width="8.19921875" style="25" customWidth="1"/>
    <col min="8716" max="8953" width="8.69921875" style="25" customWidth="1"/>
    <col min="8954" max="8954" width="10.19921875" style="25" customWidth="1"/>
    <col min="8955" max="8955" width="38.796875" style="25" customWidth="1"/>
    <col min="8956" max="8956" width="10.19921875" style="25" customWidth="1"/>
    <col min="8957" max="8960" width="9" style="25"/>
    <col min="8961" max="8961" width="10.19921875" style="25" customWidth="1"/>
    <col min="8962" max="8962" width="38.796875" style="25" customWidth="1"/>
    <col min="8963" max="8963" width="10.19921875" style="25" customWidth="1"/>
    <col min="8964" max="8971" width="8.19921875" style="25" customWidth="1"/>
    <col min="8972" max="9209" width="8.69921875" style="25" customWidth="1"/>
    <col min="9210" max="9210" width="10.19921875" style="25" customWidth="1"/>
    <col min="9211" max="9211" width="38.796875" style="25" customWidth="1"/>
    <col min="9212" max="9212" width="10.19921875" style="25" customWidth="1"/>
    <col min="9213" max="9216" width="9" style="25"/>
    <col min="9217" max="9217" width="10.19921875" style="25" customWidth="1"/>
    <col min="9218" max="9218" width="38.796875" style="25" customWidth="1"/>
    <col min="9219" max="9219" width="10.19921875" style="25" customWidth="1"/>
    <col min="9220" max="9227" width="8.19921875" style="25" customWidth="1"/>
    <col min="9228" max="9465" width="8.69921875" style="25" customWidth="1"/>
    <col min="9466" max="9466" width="10.19921875" style="25" customWidth="1"/>
    <col min="9467" max="9467" width="38.796875" style="25" customWidth="1"/>
    <col min="9468" max="9468" width="10.19921875" style="25" customWidth="1"/>
    <col min="9469" max="9472" width="9" style="25"/>
    <col min="9473" max="9473" width="10.19921875" style="25" customWidth="1"/>
    <col min="9474" max="9474" width="38.796875" style="25" customWidth="1"/>
    <col min="9475" max="9475" width="10.19921875" style="25" customWidth="1"/>
    <col min="9476" max="9483" width="8.19921875" style="25" customWidth="1"/>
    <col min="9484" max="9721" width="8.69921875" style="25" customWidth="1"/>
    <col min="9722" max="9722" width="10.19921875" style="25" customWidth="1"/>
    <col min="9723" max="9723" width="38.796875" style="25" customWidth="1"/>
    <col min="9724" max="9724" width="10.19921875" style="25" customWidth="1"/>
    <col min="9725" max="9728" width="9" style="25"/>
    <col min="9729" max="9729" width="10.19921875" style="25" customWidth="1"/>
    <col min="9730" max="9730" width="38.796875" style="25" customWidth="1"/>
    <col min="9731" max="9731" width="10.19921875" style="25" customWidth="1"/>
    <col min="9732" max="9739" width="8.19921875" style="25" customWidth="1"/>
    <col min="9740" max="9977" width="8.69921875" style="25" customWidth="1"/>
    <col min="9978" max="9978" width="10.19921875" style="25" customWidth="1"/>
    <col min="9979" max="9979" width="38.796875" style="25" customWidth="1"/>
    <col min="9980" max="9980" width="10.19921875" style="25" customWidth="1"/>
    <col min="9981" max="9984" width="9" style="25"/>
    <col min="9985" max="9985" width="10.19921875" style="25" customWidth="1"/>
    <col min="9986" max="9986" width="38.796875" style="25" customWidth="1"/>
    <col min="9987" max="9987" width="10.19921875" style="25" customWidth="1"/>
    <col min="9988" max="9995" width="8.19921875" style="25" customWidth="1"/>
    <col min="9996" max="10233" width="8.69921875" style="25" customWidth="1"/>
    <col min="10234" max="10234" width="10.19921875" style="25" customWidth="1"/>
    <col min="10235" max="10235" width="38.796875" style="25" customWidth="1"/>
    <col min="10236" max="10236" width="10.19921875" style="25" customWidth="1"/>
    <col min="10237" max="10240" width="9" style="25"/>
    <col min="10241" max="10241" width="10.19921875" style="25" customWidth="1"/>
    <col min="10242" max="10242" width="38.796875" style="25" customWidth="1"/>
    <col min="10243" max="10243" width="10.19921875" style="25" customWidth="1"/>
    <col min="10244" max="10251" width="8.19921875" style="25" customWidth="1"/>
    <col min="10252" max="10489" width="8.69921875" style="25" customWidth="1"/>
    <col min="10490" max="10490" width="10.19921875" style="25" customWidth="1"/>
    <col min="10491" max="10491" width="38.796875" style="25" customWidth="1"/>
    <col min="10492" max="10492" width="10.19921875" style="25" customWidth="1"/>
    <col min="10493" max="10496" width="9" style="25"/>
    <col min="10497" max="10497" width="10.19921875" style="25" customWidth="1"/>
    <col min="10498" max="10498" width="38.796875" style="25" customWidth="1"/>
    <col min="10499" max="10499" width="10.19921875" style="25" customWidth="1"/>
    <col min="10500" max="10507" width="8.19921875" style="25" customWidth="1"/>
    <col min="10508" max="10745" width="8.69921875" style="25" customWidth="1"/>
    <col min="10746" max="10746" width="10.19921875" style="25" customWidth="1"/>
    <col min="10747" max="10747" width="38.796875" style="25" customWidth="1"/>
    <col min="10748" max="10748" width="10.19921875" style="25" customWidth="1"/>
    <col min="10749" max="10752" width="9" style="25"/>
    <col min="10753" max="10753" width="10.19921875" style="25" customWidth="1"/>
    <col min="10754" max="10754" width="38.796875" style="25" customWidth="1"/>
    <col min="10755" max="10755" width="10.19921875" style="25" customWidth="1"/>
    <col min="10756" max="10763" width="8.19921875" style="25" customWidth="1"/>
    <col min="10764" max="11001" width="8.69921875" style="25" customWidth="1"/>
    <col min="11002" max="11002" width="10.19921875" style="25" customWidth="1"/>
    <col min="11003" max="11003" width="38.796875" style="25" customWidth="1"/>
    <col min="11004" max="11004" width="10.19921875" style="25" customWidth="1"/>
    <col min="11005" max="11008" width="9" style="25"/>
    <col min="11009" max="11009" width="10.19921875" style="25" customWidth="1"/>
    <col min="11010" max="11010" width="38.796875" style="25" customWidth="1"/>
    <col min="11011" max="11011" width="10.19921875" style="25" customWidth="1"/>
    <col min="11012" max="11019" width="8.19921875" style="25" customWidth="1"/>
    <col min="11020" max="11257" width="8.69921875" style="25" customWidth="1"/>
    <col min="11258" max="11258" width="10.19921875" style="25" customWidth="1"/>
    <col min="11259" max="11259" width="38.796875" style="25" customWidth="1"/>
    <col min="11260" max="11260" width="10.19921875" style="25" customWidth="1"/>
    <col min="11261" max="11264" width="9" style="25"/>
    <col min="11265" max="11265" width="10.19921875" style="25" customWidth="1"/>
    <col min="11266" max="11266" width="38.796875" style="25" customWidth="1"/>
    <col min="11267" max="11267" width="10.19921875" style="25" customWidth="1"/>
    <col min="11268" max="11275" width="8.19921875" style="25" customWidth="1"/>
    <col min="11276" max="11513" width="8.69921875" style="25" customWidth="1"/>
    <col min="11514" max="11514" width="10.19921875" style="25" customWidth="1"/>
    <col min="11515" max="11515" width="38.796875" style="25" customWidth="1"/>
    <col min="11516" max="11516" width="10.19921875" style="25" customWidth="1"/>
    <col min="11517" max="11520" width="9" style="25"/>
    <col min="11521" max="11521" width="10.19921875" style="25" customWidth="1"/>
    <col min="11522" max="11522" width="38.796875" style="25" customWidth="1"/>
    <col min="11523" max="11523" width="10.19921875" style="25" customWidth="1"/>
    <col min="11524" max="11531" width="8.19921875" style="25" customWidth="1"/>
    <col min="11532" max="11769" width="8.69921875" style="25" customWidth="1"/>
    <col min="11770" max="11770" width="10.19921875" style="25" customWidth="1"/>
    <col min="11771" max="11771" width="38.796875" style="25" customWidth="1"/>
    <col min="11772" max="11772" width="10.19921875" style="25" customWidth="1"/>
    <col min="11773" max="11776" width="9" style="25"/>
    <col min="11777" max="11777" width="10.19921875" style="25" customWidth="1"/>
    <col min="11778" max="11778" width="38.796875" style="25" customWidth="1"/>
    <col min="11779" max="11779" width="10.19921875" style="25" customWidth="1"/>
    <col min="11780" max="11787" width="8.19921875" style="25" customWidth="1"/>
    <col min="11788" max="12025" width="8.69921875" style="25" customWidth="1"/>
    <col min="12026" max="12026" width="10.19921875" style="25" customWidth="1"/>
    <col min="12027" max="12027" width="38.796875" style="25" customWidth="1"/>
    <col min="12028" max="12028" width="10.19921875" style="25" customWidth="1"/>
    <col min="12029" max="12032" width="9" style="25"/>
    <col min="12033" max="12033" width="10.19921875" style="25" customWidth="1"/>
    <col min="12034" max="12034" width="38.796875" style="25" customWidth="1"/>
    <col min="12035" max="12035" width="10.19921875" style="25" customWidth="1"/>
    <col min="12036" max="12043" width="8.19921875" style="25" customWidth="1"/>
    <col min="12044" max="12281" width="8.69921875" style="25" customWidth="1"/>
    <col min="12282" max="12282" width="10.19921875" style="25" customWidth="1"/>
    <col min="12283" max="12283" width="38.796875" style="25" customWidth="1"/>
    <col min="12284" max="12284" width="10.19921875" style="25" customWidth="1"/>
    <col min="12285" max="12288" width="9" style="25"/>
    <col min="12289" max="12289" width="10.19921875" style="25" customWidth="1"/>
    <col min="12290" max="12290" width="38.796875" style="25" customWidth="1"/>
    <col min="12291" max="12291" width="10.19921875" style="25" customWidth="1"/>
    <col min="12292" max="12299" width="8.19921875" style="25" customWidth="1"/>
    <col min="12300" max="12537" width="8.69921875" style="25" customWidth="1"/>
    <col min="12538" max="12538" width="10.19921875" style="25" customWidth="1"/>
    <col min="12539" max="12539" width="38.796875" style="25" customWidth="1"/>
    <col min="12540" max="12540" width="10.19921875" style="25" customWidth="1"/>
    <col min="12541" max="12544" width="9" style="25"/>
    <col min="12545" max="12545" width="10.19921875" style="25" customWidth="1"/>
    <col min="12546" max="12546" width="38.796875" style="25" customWidth="1"/>
    <col min="12547" max="12547" width="10.19921875" style="25" customWidth="1"/>
    <col min="12548" max="12555" width="8.19921875" style="25" customWidth="1"/>
    <col min="12556" max="12793" width="8.69921875" style="25" customWidth="1"/>
    <col min="12794" max="12794" width="10.19921875" style="25" customWidth="1"/>
    <col min="12795" max="12795" width="38.796875" style="25" customWidth="1"/>
    <col min="12796" max="12796" width="10.19921875" style="25" customWidth="1"/>
    <col min="12797" max="12800" width="9" style="25"/>
    <col min="12801" max="12801" width="10.19921875" style="25" customWidth="1"/>
    <col min="12802" max="12802" width="38.796875" style="25" customWidth="1"/>
    <col min="12803" max="12803" width="10.19921875" style="25" customWidth="1"/>
    <col min="12804" max="12811" width="8.19921875" style="25" customWidth="1"/>
    <col min="12812" max="13049" width="8.69921875" style="25" customWidth="1"/>
    <col min="13050" max="13050" width="10.19921875" style="25" customWidth="1"/>
    <col min="13051" max="13051" width="38.796875" style="25" customWidth="1"/>
    <col min="13052" max="13052" width="10.19921875" style="25" customWidth="1"/>
    <col min="13053" max="13056" width="9" style="25"/>
    <col min="13057" max="13057" width="10.19921875" style="25" customWidth="1"/>
    <col min="13058" max="13058" width="38.796875" style="25" customWidth="1"/>
    <col min="13059" max="13059" width="10.19921875" style="25" customWidth="1"/>
    <col min="13060" max="13067" width="8.19921875" style="25" customWidth="1"/>
    <col min="13068" max="13305" width="8.69921875" style="25" customWidth="1"/>
    <col min="13306" max="13306" width="10.19921875" style="25" customWidth="1"/>
    <col min="13307" max="13307" width="38.796875" style="25" customWidth="1"/>
    <col min="13308" max="13308" width="10.19921875" style="25" customWidth="1"/>
    <col min="13309" max="13312" width="9" style="25"/>
    <col min="13313" max="13313" width="10.19921875" style="25" customWidth="1"/>
    <col min="13314" max="13314" width="38.796875" style="25" customWidth="1"/>
    <col min="13315" max="13315" width="10.19921875" style="25" customWidth="1"/>
    <col min="13316" max="13323" width="8.19921875" style="25" customWidth="1"/>
    <col min="13324" max="13561" width="8.69921875" style="25" customWidth="1"/>
    <col min="13562" max="13562" width="10.19921875" style="25" customWidth="1"/>
    <col min="13563" max="13563" width="38.796875" style="25" customWidth="1"/>
    <col min="13564" max="13564" width="10.19921875" style="25" customWidth="1"/>
    <col min="13565" max="13568" width="9" style="25"/>
    <col min="13569" max="13569" width="10.19921875" style="25" customWidth="1"/>
    <col min="13570" max="13570" width="38.796875" style="25" customWidth="1"/>
    <col min="13571" max="13571" width="10.19921875" style="25" customWidth="1"/>
    <col min="13572" max="13579" width="8.19921875" style="25" customWidth="1"/>
    <col min="13580" max="13817" width="8.69921875" style="25" customWidth="1"/>
    <col min="13818" max="13818" width="10.19921875" style="25" customWidth="1"/>
    <col min="13819" max="13819" width="38.796875" style="25" customWidth="1"/>
    <col min="13820" max="13820" width="10.19921875" style="25" customWidth="1"/>
    <col min="13821" max="13824" width="9" style="25"/>
    <col min="13825" max="13825" width="10.19921875" style="25" customWidth="1"/>
    <col min="13826" max="13826" width="38.796875" style="25" customWidth="1"/>
    <col min="13827" max="13827" width="10.19921875" style="25" customWidth="1"/>
    <col min="13828" max="13835" width="8.19921875" style="25" customWidth="1"/>
    <col min="13836" max="14073" width="8.69921875" style="25" customWidth="1"/>
    <col min="14074" max="14074" width="10.19921875" style="25" customWidth="1"/>
    <col min="14075" max="14075" width="38.796875" style="25" customWidth="1"/>
    <col min="14076" max="14076" width="10.19921875" style="25" customWidth="1"/>
    <col min="14077" max="14080" width="9" style="25"/>
    <col min="14081" max="14081" width="10.19921875" style="25" customWidth="1"/>
    <col min="14082" max="14082" width="38.796875" style="25" customWidth="1"/>
    <col min="14083" max="14083" width="10.19921875" style="25" customWidth="1"/>
    <col min="14084" max="14091" width="8.19921875" style="25" customWidth="1"/>
    <col min="14092" max="14329" width="8.69921875" style="25" customWidth="1"/>
    <col min="14330" max="14330" width="10.19921875" style="25" customWidth="1"/>
    <col min="14331" max="14331" width="38.796875" style="25" customWidth="1"/>
    <col min="14332" max="14332" width="10.19921875" style="25" customWidth="1"/>
    <col min="14333" max="14336" width="9" style="25"/>
    <col min="14337" max="14337" width="10.19921875" style="25" customWidth="1"/>
    <col min="14338" max="14338" width="38.796875" style="25" customWidth="1"/>
    <col min="14339" max="14339" width="10.19921875" style="25" customWidth="1"/>
    <col min="14340" max="14347" width="8.19921875" style="25" customWidth="1"/>
    <col min="14348" max="14585" width="8.69921875" style="25" customWidth="1"/>
    <col min="14586" max="14586" width="10.19921875" style="25" customWidth="1"/>
    <col min="14587" max="14587" width="38.796875" style="25" customWidth="1"/>
    <col min="14588" max="14588" width="10.19921875" style="25" customWidth="1"/>
    <col min="14589" max="14592" width="9" style="25"/>
    <col min="14593" max="14593" width="10.19921875" style="25" customWidth="1"/>
    <col min="14594" max="14594" width="38.796875" style="25" customWidth="1"/>
    <col min="14595" max="14595" width="10.19921875" style="25" customWidth="1"/>
    <col min="14596" max="14603" width="8.19921875" style="25" customWidth="1"/>
    <col min="14604" max="14841" width="8.69921875" style="25" customWidth="1"/>
    <col min="14842" max="14842" width="10.19921875" style="25" customWidth="1"/>
    <col min="14843" max="14843" width="38.796875" style="25" customWidth="1"/>
    <col min="14844" max="14844" width="10.19921875" style="25" customWidth="1"/>
    <col min="14845" max="14848" width="9" style="25"/>
    <col min="14849" max="14849" width="10.19921875" style="25" customWidth="1"/>
    <col min="14850" max="14850" width="38.796875" style="25" customWidth="1"/>
    <col min="14851" max="14851" width="10.19921875" style="25" customWidth="1"/>
    <col min="14852" max="14859" width="8.19921875" style="25" customWidth="1"/>
    <col min="14860" max="15097" width="8.69921875" style="25" customWidth="1"/>
    <col min="15098" max="15098" width="10.19921875" style="25" customWidth="1"/>
    <col min="15099" max="15099" width="38.796875" style="25" customWidth="1"/>
    <col min="15100" max="15100" width="10.19921875" style="25" customWidth="1"/>
    <col min="15101" max="15104" width="9" style="25"/>
    <col min="15105" max="15105" width="10.19921875" style="25" customWidth="1"/>
    <col min="15106" max="15106" width="38.796875" style="25" customWidth="1"/>
    <col min="15107" max="15107" width="10.19921875" style="25" customWidth="1"/>
    <col min="15108" max="15115" width="8.19921875" style="25" customWidth="1"/>
    <col min="15116" max="15353" width="8.69921875" style="25" customWidth="1"/>
    <col min="15354" max="15354" width="10.19921875" style="25" customWidth="1"/>
    <col min="15355" max="15355" width="38.796875" style="25" customWidth="1"/>
    <col min="15356" max="15356" width="10.19921875" style="25" customWidth="1"/>
    <col min="15357" max="15360" width="9" style="25"/>
    <col min="15361" max="15361" width="10.19921875" style="25" customWidth="1"/>
    <col min="15362" max="15362" width="38.796875" style="25" customWidth="1"/>
    <col min="15363" max="15363" width="10.19921875" style="25" customWidth="1"/>
    <col min="15364" max="15371" width="8.19921875" style="25" customWidth="1"/>
    <col min="15372" max="15609" width="8.69921875" style="25" customWidth="1"/>
    <col min="15610" max="15610" width="10.19921875" style="25" customWidth="1"/>
    <col min="15611" max="15611" width="38.796875" style="25" customWidth="1"/>
    <col min="15612" max="15612" width="10.19921875" style="25" customWidth="1"/>
    <col min="15613" max="15616" width="9" style="25"/>
    <col min="15617" max="15617" width="10.19921875" style="25" customWidth="1"/>
    <col min="15618" max="15618" width="38.796875" style="25" customWidth="1"/>
    <col min="15619" max="15619" width="10.19921875" style="25" customWidth="1"/>
    <col min="15620" max="15627" width="8.19921875" style="25" customWidth="1"/>
    <col min="15628" max="15865" width="8.69921875" style="25" customWidth="1"/>
    <col min="15866" max="15866" width="10.19921875" style="25" customWidth="1"/>
    <col min="15867" max="15867" width="38.796875" style="25" customWidth="1"/>
    <col min="15868" max="15868" width="10.19921875" style="25" customWidth="1"/>
    <col min="15869" max="15872" width="9" style="25"/>
    <col min="15873" max="15873" width="10.19921875" style="25" customWidth="1"/>
    <col min="15874" max="15874" width="38.796875" style="25" customWidth="1"/>
    <col min="15875" max="15875" width="10.19921875" style="25" customWidth="1"/>
    <col min="15876" max="15883" width="8.19921875" style="25" customWidth="1"/>
    <col min="15884" max="16121" width="8.69921875" style="25" customWidth="1"/>
    <col min="16122" max="16122" width="10.19921875" style="25" customWidth="1"/>
    <col min="16123" max="16123" width="38.796875" style="25" customWidth="1"/>
    <col min="16124" max="16124" width="10.19921875" style="25" customWidth="1"/>
    <col min="16125" max="16128" width="9" style="25"/>
    <col min="16129" max="16129" width="10.19921875" style="25" customWidth="1"/>
    <col min="16130" max="16130" width="38.796875" style="25" customWidth="1"/>
    <col min="16131" max="16131" width="10.19921875" style="25" customWidth="1"/>
    <col min="16132" max="16139" width="8.19921875" style="25" customWidth="1"/>
    <col min="16140" max="16377" width="8.69921875" style="25" customWidth="1"/>
    <col min="16378" max="16378" width="10.19921875" style="25" customWidth="1"/>
    <col min="16379" max="16379" width="38.796875" style="25" customWidth="1"/>
    <col min="16380" max="16380" width="10.19921875" style="25" customWidth="1"/>
    <col min="16381" max="16384" width="9" style="25"/>
  </cols>
  <sheetData>
    <row r="1" spans="1:11" s="20" customFormat="1" ht="16.9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21" customFormat="1" ht="26.25" customHeight="1" x14ac:dyDescent="0.25">
      <c r="A2" s="36" t="s">
        <v>358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s="21" customFormat="1" ht="19.95" customHeight="1" x14ac:dyDescent="0.25">
      <c r="A3" s="37" t="s">
        <v>1917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x14ac:dyDescent="0.25">
      <c r="D4" s="24"/>
      <c r="H4" s="24"/>
    </row>
    <row r="5" spans="1:11" s="26" customFormat="1" ht="19.95" customHeight="1" x14ac:dyDescent="0.25">
      <c r="A5" s="38" t="s">
        <v>2</v>
      </c>
      <c r="B5" s="41" t="s">
        <v>3</v>
      </c>
      <c r="C5" s="44" t="s">
        <v>4</v>
      </c>
      <c r="D5" s="47" t="s">
        <v>5</v>
      </c>
      <c r="E5" s="47"/>
      <c r="F5" s="47"/>
      <c r="G5" s="48"/>
      <c r="H5" s="49" t="s">
        <v>6</v>
      </c>
      <c r="I5" s="50"/>
      <c r="J5" s="50"/>
      <c r="K5" s="51"/>
    </row>
    <row r="6" spans="1:11" s="26" customFormat="1" ht="19.95" customHeight="1" x14ac:dyDescent="0.25">
      <c r="A6" s="39"/>
      <c r="B6" s="42"/>
      <c r="C6" s="45"/>
      <c r="D6" s="52" t="s">
        <v>7</v>
      </c>
      <c r="E6" s="52"/>
      <c r="F6" s="52"/>
      <c r="G6" s="52"/>
      <c r="H6" s="53" t="s">
        <v>7</v>
      </c>
      <c r="I6" s="52"/>
      <c r="J6" s="52"/>
      <c r="K6" s="54"/>
    </row>
    <row r="7" spans="1:11" s="26" customFormat="1" ht="19.95" customHeight="1" x14ac:dyDescent="0.25">
      <c r="A7" s="40"/>
      <c r="B7" s="43"/>
      <c r="C7" s="46"/>
      <c r="D7" s="27" t="s">
        <v>359</v>
      </c>
      <c r="E7" s="28" t="s">
        <v>360</v>
      </c>
      <c r="F7" s="29" t="s">
        <v>361</v>
      </c>
      <c r="G7" s="30" t="s">
        <v>8</v>
      </c>
      <c r="H7" s="31" t="s">
        <v>359</v>
      </c>
      <c r="I7" s="28" t="s">
        <v>360</v>
      </c>
      <c r="J7" s="29" t="s">
        <v>361</v>
      </c>
      <c r="K7" s="30" t="s">
        <v>8</v>
      </c>
    </row>
    <row r="8" spans="1:11" s="21" customFormat="1" ht="19.95" customHeight="1" x14ac:dyDescent="0.25">
      <c r="A8" s="13" t="str">
        <f>"15491"</f>
        <v>15491</v>
      </c>
      <c r="B8" s="14" t="s">
        <v>1932</v>
      </c>
      <c r="C8" s="13" t="str">
        <f>"29.2"</f>
        <v>29.2</v>
      </c>
      <c r="D8" s="32">
        <f>(C8*1.24778761061)+(0.4)</f>
        <v>36.835398229812</v>
      </c>
      <c r="E8" s="33">
        <f>(C8*1.16814159292)+(-1)</f>
        <v>33.109734513264002</v>
      </c>
      <c r="F8" s="33">
        <f>(C8*1.1238938053)+(-4.4)</f>
        <v>28.417699114760005</v>
      </c>
      <c r="G8" s="33">
        <f>(C8*1.06194690265)+(-5.9)</f>
        <v>25.108849557379997</v>
      </c>
      <c r="H8" s="34">
        <f>(C8*1.19469026548)+(0)</f>
        <v>34.884955752015998</v>
      </c>
      <c r="I8" s="34">
        <f>(C8*1.16814159292)+(-2)</f>
        <v>32.109734513264002</v>
      </c>
      <c r="J8" s="34">
        <f>(C8*1.1238938053)+(-3.9)</f>
        <v>28.917699114760005</v>
      </c>
      <c r="K8" s="34">
        <f>(C8*1.07964601769)+(-5.6)</f>
        <v>25.925663716548002</v>
      </c>
    </row>
    <row r="9" spans="1:11" s="21" customFormat="1" ht="19.95" customHeight="1" x14ac:dyDescent="0.25">
      <c r="A9" s="13" t="str">
        <f>"15490"</f>
        <v>15490</v>
      </c>
      <c r="B9" s="14" t="s">
        <v>1933</v>
      </c>
      <c r="C9" s="13" t="str">
        <f>"25.0"</f>
        <v>25.0</v>
      </c>
      <c r="D9" s="32">
        <f>(C9*1.24778761061)+(0.4)</f>
        <v>31.594690265250001</v>
      </c>
      <c r="E9" s="33">
        <f>(C9*1.16814159292)+(-1)</f>
        <v>28.203539823000003</v>
      </c>
      <c r="F9" s="33">
        <f>(C9*1.1238938053)+(-4.4)</f>
        <v>23.697345132500004</v>
      </c>
      <c r="G9" s="33">
        <f>(C9*1.06194690265)+(-5.9)</f>
        <v>20.648672566249999</v>
      </c>
      <c r="H9" s="34">
        <f>(C9*1.19469026548)+(0)</f>
        <v>29.867256637000001</v>
      </c>
      <c r="I9" s="34">
        <f>(C9*1.16814159292)+(-2)</f>
        <v>27.203539823000003</v>
      </c>
      <c r="J9" s="34">
        <f>(C9*1.1238938053)+(-3.9)</f>
        <v>24.197345132500004</v>
      </c>
      <c r="K9" s="34">
        <f>(C9*1.07964601769)+(-5.6)</f>
        <v>21.391150442250002</v>
      </c>
    </row>
    <row r="10" spans="1:11" s="21" customFormat="1" ht="19.95" customHeight="1" x14ac:dyDescent="0.25">
      <c r="A10" s="13" t="str">
        <f>"15489"</f>
        <v>15489</v>
      </c>
      <c r="B10" s="14" t="s">
        <v>362</v>
      </c>
      <c r="C10" s="13" t="str">
        <f>"24.6"</f>
        <v>24.6</v>
      </c>
      <c r="D10" s="32">
        <f>(C10*1.24778761061)+(0.4)</f>
        <v>31.095575221006001</v>
      </c>
      <c r="E10" s="33">
        <f>(C10*1.16814159292)+(-1)</f>
        <v>27.736283185832004</v>
      </c>
      <c r="F10" s="33">
        <f>(C10*1.1238938053)+(-4.4)</f>
        <v>23.247787610380001</v>
      </c>
      <c r="G10" s="33">
        <f>(C10*1.06194690265)+(-5.9)</f>
        <v>20.223893805190002</v>
      </c>
      <c r="H10" s="34">
        <f>(C10*1.19469026548)+(0)</f>
        <v>29.389380530808001</v>
      </c>
      <c r="I10" s="34">
        <f>(C10*1.16814159292)+(-2)</f>
        <v>26.736283185832004</v>
      </c>
      <c r="J10" s="34">
        <f>(C10*1.1238938053)+(-3.9)</f>
        <v>23.747787610380005</v>
      </c>
      <c r="K10" s="34">
        <f>(C10*1.07964601769)+(-5.6)</f>
        <v>20.959292035174002</v>
      </c>
    </row>
    <row r="11" spans="1:11" s="21" customFormat="1" ht="19.95" customHeight="1" x14ac:dyDescent="0.25">
      <c r="A11" s="13" t="str">
        <f>"5373"</f>
        <v>5373</v>
      </c>
      <c r="B11" s="14" t="s">
        <v>363</v>
      </c>
      <c r="C11" s="13" t="str">
        <f>"13.2"</f>
        <v>13.2</v>
      </c>
      <c r="D11" s="32">
        <f>(C11*1.24778761061)+(0.4)</f>
        <v>16.870796460051999</v>
      </c>
      <c r="E11" s="33">
        <f>(C11*1.16814159292)+(-1)</f>
        <v>14.419469026544</v>
      </c>
      <c r="F11" s="33">
        <f>(C11*1.1238938053)+(-4.4)</f>
        <v>10.435398229959999</v>
      </c>
      <c r="G11" s="33">
        <f>(C11*1.06194690265)+(-5.9)</f>
        <v>8.1176991149799971</v>
      </c>
      <c r="H11" s="34">
        <f>(C11*1.19469026548)+(0)</f>
        <v>15.769911504335999</v>
      </c>
      <c r="I11" s="34">
        <f>(C11*1.16814159292)+(-2)</f>
        <v>13.419469026544</v>
      </c>
      <c r="J11" s="34">
        <f>(C11*1.1238938053)+(-3.9)</f>
        <v>10.935398229959999</v>
      </c>
      <c r="K11" s="34">
        <f>(C11*1.07964601769)+(-5.6)</f>
        <v>8.6513274335079995</v>
      </c>
    </row>
    <row r="12" spans="1:11" s="21" customFormat="1" ht="19.95" customHeight="1" x14ac:dyDescent="0.25">
      <c r="A12" s="13" t="str">
        <f>"1008965"</f>
        <v>1008965</v>
      </c>
      <c r="B12" s="14" t="s">
        <v>364</v>
      </c>
      <c r="C12" s="13" t="str">
        <f>"24.3"</f>
        <v>24.3</v>
      </c>
      <c r="D12" s="32">
        <f>(C12*1.24778761061)+(0.4)</f>
        <v>30.721238937823003</v>
      </c>
      <c r="E12" s="33">
        <f>(C12*1.16814159292)+(-1)</f>
        <v>27.385840707956003</v>
      </c>
      <c r="F12" s="33">
        <f>(C12*1.1238938053)+(-4.4)</f>
        <v>22.910619468790003</v>
      </c>
      <c r="G12" s="33">
        <f>(C12*1.06194690265)+(-5.9)</f>
        <v>19.905309734394997</v>
      </c>
      <c r="H12" s="34">
        <f>(C12*1.19469026548)+(0)</f>
        <v>29.030973451164002</v>
      </c>
      <c r="I12" s="34">
        <f>(C12*1.16814159292)+(-2)</f>
        <v>26.385840707956003</v>
      </c>
      <c r="J12" s="34">
        <f>(C12*1.1238938053)+(-3.9)</f>
        <v>23.410619468790003</v>
      </c>
      <c r="K12" s="34">
        <f>(C12*1.07964601769)+(-5.6)</f>
        <v>20.635398229867</v>
      </c>
    </row>
    <row r="13" spans="1:11" s="21" customFormat="1" ht="19.95" customHeight="1" x14ac:dyDescent="0.25">
      <c r="A13" s="13" t="str">
        <f>"19233"</f>
        <v>19233</v>
      </c>
      <c r="B13" s="14" t="s">
        <v>365</v>
      </c>
      <c r="C13" s="13" t="str">
        <f>"7.1"</f>
        <v>7.1</v>
      </c>
      <c r="D13" s="32">
        <f>(C13*1.24778761061)+(0.4)</f>
        <v>9.2592920353310006</v>
      </c>
      <c r="E13" s="33">
        <f>(C13*1.16814159292)+(-1)</f>
        <v>7.2938053097320008</v>
      </c>
      <c r="F13" s="33">
        <f>(C13*1.1238938053)+(-4.4)</f>
        <v>3.57964601763</v>
      </c>
      <c r="G13" s="33">
        <f>(C13*1.06194690265)+(-5.9)</f>
        <v>1.6398230088149983</v>
      </c>
      <c r="H13" s="34">
        <f>(C13*1.19469026548)+(0)</f>
        <v>8.4823008849079997</v>
      </c>
      <c r="I13" s="34">
        <f>(C13*1.16814159292)+(-2)</f>
        <v>6.2938053097320008</v>
      </c>
      <c r="J13" s="34">
        <f>(C13*1.1238938053)+(-3.9)</f>
        <v>4.0796460176300009</v>
      </c>
      <c r="K13" s="34">
        <f>(C13*1.07964601769)+(-5.6)</f>
        <v>2.0654867255990004</v>
      </c>
    </row>
    <row r="14" spans="1:11" s="21" customFormat="1" ht="19.95" customHeight="1" x14ac:dyDescent="0.25">
      <c r="A14" s="13" t="str">
        <f>"15497"</f>
        <v>15497</v>
      </c>
      <c r="B14" s="14" t="s">
        <v>366</v>
      </c>
      <c r="C14" s="13" t="str">
        <f>"17.0"</f>
        <v>17.0</v>
      </c>
      <c r="D14" s="32">
        <f>(C14*1.24778761061)+(0.4)</f>
        <v>21.612389380370001</v>
      </c>
      <c r="E14" s="33">
        <f>(C14*1.16814159292)+(-1)</f>
        <v>18.858407079640003</v>
      </c>
      <c r="F14" s="33">
        <f>(C14*1.1238938053)+(-4.4)</f>
        <v>14.7061946901</v>
      </c>
      <c r="G14" s="33">
        <f>(C14*1.06194690265)+(-5.9)</f>
        <v>12.153097345049998</v>
      </c>
      <c r="H14" s="34">
        <f>(C14*1.19469026548)+(0)</f>
        <v>20.309734513159999</v>
      </c>
      <c r="I14" s="34">
        <f>(C14*1.16814159292)+(-2)</f>
        <v>17.858407079640003</v>
      </c>
      <c r="J14" s="34">
        <f>(C14*1.1238938053)+(-3.9)</f>
        <v>15.2061946901</v>
      </c>
      <c r="K14" s="34">
        <f>(C14*1.07964601769)+(-5.6)</f>
        <v>12.75398230073</v>
      </c>
    </row>
    <row r="15" spans="1:11" s="21" customFormat="1" ht="19.95" customHeight="1" x14ac:dyDescent="0.25">
      <c r="A15" s="13" t="str">
        <f>"15498"</f>
        <v>15498</v>
      </c>
      <c r="B15" s="14" t="s">
        <v>367</v>
      </c>
      <c r="C15" s="13" t="str">
        <f>"16.1"</f>
        <v>16.1</v>
      </c>
      <c r="D15" s="32">
        <f>(C15*1.24778761061)+(0.4)</f>
        <v>20.489380530821002</v>
      </c>
      <c r="E15" s="33">
        <f>(C15*1.16814159292)+(-1)</f>
        <v>17.807079646012003</v>
      </c>
      <c r="F15" s="33">
        <f>(C15*1.1238938053)+(-4.4)</f>
        <v>13.694690265330001</v>
      </c>
      <c r="G15" s="33">
        <f>(C15*1.06194690265)+(-5.9)</f>
        <v>11.197345132665001</v>
      </c>
      <c r="H15" s="34">
        <f>(C15*1.19469026548)+(0)</f>
        <v>19.234513274228004</v>
      </c>
      <c r="I15" s="34">
        <f>(C15*1.16814159292)+(-2)</f>
        <v>16.807079646012003</v>
      </c>
      <c r="J15" s="34">
        <f>(C15*1.1238938053)+(-3.9)</f>
        <v>14.194690265330001</v>
      </c>
      <c r="K15" s="34">
        <f>(C15*1.07964601769)+(-5.6)</f>
        <v>11.782300884809002</v>
      </c>
    </row>
    <row r="16" spans="1:11" s="21" customFormat="1" ht="19.95" customHeight="1" x14ac:dyDescent="0.25">
      <c r="A16" s="13" t="str">
        <f>"65909"</f>
        <v>65909</v>
      </c>
      <c r="B16" s="14" t="s">
        <v>368</v>
      </c>
      <c r="C16" s="13" t="str">
        <f>"17.9"</f>
        <v>17.9</v>
      </c>
      <c r="D16" s="32">
        <f>(C16*1.24778761061)+(0.4)</f>
        <v>22.735398229918999</v>
      </c>
      <c r="E16" s="33">
        <f>(C16*1.16814159292)+(-1)</f>
        <v>19.909734513267999</v>
      </c>
      <c r="F16" s="33">
        <f>(C16*1.1238938053)+(-4.4)</f>
        <v>15.717699114869999</v>
      </c>
      <c r="G16" s="33">
        <f>(C16*1.06194690265)+(-5.9)</f>
        <v>13.108849557434995</v>
      </c>
      <c r="H16" s="34">
        <f>(C16*1.19469026548)+(0)</f>
        <v>21.384955752091997</v>
      </c>
      <c r="I16" s="34">
        <f>(C16*1.16814159292)+(-2)</f>
        <v>18.909734513267999</v>
      </c>
      <c r="J16" s="34">
        <f>(C16*1.1238938053)+(-3.9)</f>
        <v>16.217699114870001</v>
      </c>
      <c r="K16" s="34">
        <f>(C16*1.07964601769)+(-5.6)</f>
        <v>13.725663716651001</v>
      </c>
    </row>
    <row r="17" spans="1:11" s="21" customFormat="1" ht="19.95" customHeight="1" x14ac:dyDescent="0.25">
      <c r="A17" s="13" t="str">
        <f>"1017694"</f>
        <v>1017694</v>
      </c>
      <c r="B17" s="14" t="s">
        <v>1918</v>
      </c>
      <c r="C17" s="13" t="s">
        <v>76</v>
      </c>
      <c r="D17" s="32" t="s">
        <v>77</v>
      </c>
      <c r="E17" s="33" t="s">
        <v>77</v>
      </c>
      <c r="F17" s="33" t="s">
        <v>77</v>
      </c>
      <c r="G17" s="33" t="s">
        <v>77</v>
      </c>
      <c r="H17" s="34" t="s">
        <v>77</v>
      </c>
      <c r="I17" s="34" t="s">
        <v>77</v>
      </c>
      <c r="J17" s="34" t="s">
        <v>77</v>
      </c>
      <c r="K17" s="34" t="s">
        <v>77</v>
      </c>
    </row>
    <row r="18" spans="1:11" s="21" customFormat="1" ht="19.95" customHeight="1" x14ac:dyDescent="0.25">
      <c r="A18" s="13" t="str">
        <f>"1017402"</f>
        <v>1017402</v>
      </c>
      <c r="B18" s="14" t="s">
        <v>369</v>
      </c>
      <c r="C18" s="13" t="str">
        <f>"21.9"</f>
        <v>21.9</v>
      </c>
      <c r="D18" s="32">
        <f>(C18*1.24778761061)+(0.4)</f>
        <v>27.726548672358998</v>
      </c>
      <c r="E18" s="33">
        <f>(C18*1.16814159292)+(-1)</f>
        <v>24.582300884948001</v>
      </c>
      <c r="F18" s="33">
        <f>(C18*1.1238938053)+(-4.4)</f>
        <v>20.21327433607</v>
      </c>
      <c r="G18" s="33">
        <f>(C18*1.06194690265)+(-5.9)</f>
        <v>17.356637168034993</v>
      </c>
      <c r="H18" s="34">
        <f>(C18*1.19469026548)+(0)</f>
        <v>26.163716814011998</v>
      </c>
      <c r="I18" s="34">
        <f>(C18*1.16814159292)+(-2)</f>
        <v>23.582300884948001</v>
      </c>
      <c r="J18" s="34">
        <f>(C18*1.1238938053)+(-3.9)</f>
        <v>20.71327433607</v>
      </c>
      <c r="K18" s="34">
        <f>(C18*1.07964601769)+(-5.6)</f>
        <v>18.044247787411003</v>
      </c>
    </row>
    <row r="19" spans="1:11" s="21" customFormat="1" ht="19.95" customHeight="1" x14ac:dyDescent="0.25">
      <c r="A19" s="13" t="str">
        <f>"72584"</f>
        <v>72584</v>
      </c>
      <c r="B19" s="14" t="s">
        <v>370</v>
      </c>
      <c r="C19" s="13" t="str">
        <f>"13.8"</f>
        <v>13.8</v>
      </c>
      <c r="D19" s="32">
        <f>(C19*1.24778761061)+(0.4)</f>
        <v>17.619469026418002</v>
      </c>
      <c r="E19" s="33">
        <f>(C19*1.16814159292)+(-1)</f>
        <v>15.120353982296002</v>
      </c>
      <c r="F19" s="33">
        <f>(C19*1.1238938053)+(-4.4)</f>
        <v>11.109734513140001</v>
      </c>
      <c r="G19" s="33">
        <f>(C19*1.06194690265)+(-5.9)</f>
        <v>8.7548672565699999</v>
      </c>
      <c r="H19" s="34">
        <f>(C19*1.19469026548)+(0)</f>
        <v>16.486725663624</v>
      </c>
      <c r="I19" s="34">
        <f>(C19*1.16814159292)+(-2)</f>
        <v>14.120353982296002</v>
      </c>
      <c r="J19" s="34">
        <f>(C19*1.1238938053)+(-3.9)</f>
        <v>11.609734513140001</v>
      </c>
      <c r="K19" s="34">
        <f>(C19*1.07964601769)+(-5.6)</f>
        <v>9.2991150441220007</v>
      </c>
    </row>
    <row r="20" spans="1:11" s="21" customFormat="1" ht="19.95" customHeight="1" x14ac:dyDescent="0.25">
      <c r="A20" s="13" t="str">
        <f>"15503"</f>
        <v>15503</v>
      </c>
      <c r="B20" s="14" t="s">
        <v>371</v>
      </c>
      <c r="C20" s="13" t="str">
        <f>"29.2"</f>
        <v>29.2</v>
      </c>
      <c r="D20" s="32">
        <f>(C20*1.24778761061)+(0.4)</f>
        <v>36.835398229812</v>
      </c>
      <c r="E20" s="33">
        <f>(C20*1.16814159292)+(-1)</f>
        <v>33.109734513264002</v>
      </c>
      <c r="F20" s="33">
        <f>(C20*1.1238938053)+(-4.4)</f>
        <v>28.417699114760005</v>
      </c>
      <c r="G20" s="33">
        <f>(C20*1.06194690265)+(-5.9)</f>
        <v>25.108849557379997</v>
      </c>
      <c r="H20" s="34">
        <f>(C20*1.19469026548)+(0)</f>
        <v>34.884955752015998</v>
      </c>
      <c r="I20" s="34">
        <f>(C20*1.16814159292)+(-2)</f>
        <v>32.109734513264002</v>
      </c>
      <c r="J20" s="34">
        <f>(C20*1.1238938053)+(-3.9)</f>
        <v>28.917699114760005</v>
      </c>
      <c r="K20" s="34">
        <f>(C20*1.07964601769)+(-5.6)</f>
        <v>25.925663716548002</v>
      </c>
    </row>
    <row r="21" spans="1:11" s="21" customFormat="1" ht="19.95" customHeight="1" x14ac:dyDescent="0.25">
      <c r="A21" s="13" t="str">
        <f>"13208"</f>
        <v>13208</v>
      </c>
      <c r="B21" s="14" t="s">
        <v>372</v>
      </c>
      <c r="C21" s="13" t="str">
        <f>"16.7"</f>
        <v>16.7</v>
      </c>
      <c r="D21" s="32">
        <f>(C21*1.24778761061)+(0.4)</f>
        <v>21.238053097186999</v>
      </c>
      <c r="E21" s="33">
        <f>(C21*1.16814159292)+(-1)</f>
        <v>18.507964601764002</v>
      </c>
      <c r="F21" s="33">
        <f>(C21*1.1238938053)+(-4.4)</f>
        <v>14.369026548509998</v>
      </c>
      <c r="G21" s="33">
        <f>(C21*1.06194690265)+(-5.9)</f>
        <v>11.834513274254997</v>
      </c>
      <c r="H21" s="34">
        <f>(C21*1.19469026548)+(0)</f>
        <v>19.951327433515999</v>
      </c>
      <c r="I21" s="34">
        <f>(C21*1.16814159292)+(-2)</f>
        <v>17.507964601764002</v>
      </c>
      <c r="J21" s="34">
        <f>(C21*1.1238938053)+(-3.9)</f>
        <v>14.869026548509998</v>
      </c>
      <c r="K21" s="34">
        <f>(C21*1.07964601769)+(-5.6)</f>
        <v>12.430088495422998</v>
      </c>
    </row>
    <row r="22" spans="1:11" s="21" customFormat="1" ht="19.95" customHeight="1" x14ac:dyDescent="0.25">
      <c r="A22" s="13" t="str">
        <f>"71910"</f>
        <v>71910</v>
      </c>
      <c r="B22" s="14" t="s">
        <v>373</v>
      </c>
      <c r="C22" s="13" t="str">
        <f>"19.3"</f>
        <v>19.3</v>
      </c>
      <c r="D22" s="32">
        <f>(C22*1.24778761061)+(0.4)</f>
        <v>24.482300884773</v>
      </c>
      <c r="E22" s="33">
        <f>(C22*1.16814159292)+(-1)</f>
        <v>21.545132743356003</v>
      </c>
      <c r="F22" s="33">
        <f>(C22*1.1238938053)+(-4.4)</f>
        <v>17.291150442290004</v>
      </c>
      <c r="G22" s="33">
        <f>(C22*1.06194690265)+(-5.9)</f>
        <v>14.595575221144999</v>
      </c>
      <c r="H22" s="34">
        <f>(C22*1.19469026548)+(0)</f>
        <v>23.057522123764002</v>
      </c>
      <c r="I22" s="34">
        <f>(C22*1.16814159292)+(-2)</f>
        <v>20.545132743356003</v>
      </c>
      <c r="J22" s="34">
        <f>(C22*1.1238938053)+(-3.9)</f>
        <v>17.791150442290004</v>
      </c>
      <c r="K22" s="34">
        <f>(C22*1.07964601769)+(-5.6)</f>
        <v>15.237168141417003</v>
      </c>
    </row>
    <row r="23" spans="1:11" s="21" customFormat="1" ht="19.95" customHeight="1" x14ac:dyDescent="0.25">
      <c r="A23" s="13" t="str">
        <f>"15149"</f>
        <v>15149</v>
      </c>
      <c r="B23" s="14" t="s">
        <v>374</v>
      </c>
      <c r="C23" s="13" t="str">
        <f>"32.3"</f>
        <v>32.3</v>
      </c>
      <c r="D23" s="32">
        <f>(C23*1.24778761061)+(0.4)</f>
        <v>40.703539822703</v>
      </c>
      <c r="E23" s="33">
        <f>(C23*1.16814159292)+(-1)</f>
        <v>36.730973451315997</v>
      </c>
      <c r="F23" s="33">
        <f>(C23*1.1238938053)+(-4.4)</f>
        <v>31.901769911190001</v>
      </c>
      <c r="G23" s="33">
        <f>(C23*1.06194690265)+(-5.9)</f>
        <v>28.400884955594996</v>
      </c>
      <c r="H23" s="34">
        <f>(C23*1.19469026548)+(0)</f>
        <v>38.588495575003996</v>
      </c>
      <c r="I23" s="34">
        <f>(C23*1.16814159292)+(-2)</f>
        <v>35.730973451315997</v>
      </c>
      <c r="J23" s="34">
        <f>(C23*1.1238938053)+(-3.9)</f>
        <v>32.401769911190001</v>
      </c>
      <c r="K23" s="34">
        <f>(C23*1.07964601769)+(-5.6)</f>
        <v>29.272566371386993</v>
      </c>
    </row>
    <row r="24" spans="1:11" s="21" customFormat="1" ht="19.95" customHeight="1" x14ac:dyDescent="0.25">
      <c r="A24" s="13" t="str">
        <f>"15506"</f>
        <v>15506</v>
      </c>
      <c r="B24" s="14" t="s">
        <v>375</v>
      </c>
      <c r="C24" s="13" t="str">
        <f>"18.7"</f>
        <v>18.7</v>
      </c>
      <c r="D24" s="32">
        <f>(C24*1.24778761061)+(0.4)</f>
        <v>23.733628318407</v>
      </c>
      <c r="E24" s="33">
        <f>(C24*1.16814159292)+(-1)</f>
        <v>20.844247787604001</v>
      </c>
      <c r="F24" s="33">
        <f>(C24*1.1238938053)+(-4.4)</f>
        <v>16.61681415911</v>
      </c>
      <c r="G24" s="33">
        <f>(C24*1.06194690265)+(-5.9)</f>
        <v>13.958407079554997</v>
      </c>
      <c r="H24" s="34">
        <f>(C24*1.19469026548)+(0)</f>
        <v>22.340707964476</v>
      </c>
      <c r="I24" s="34">
        <f>(C24*1.16814159292)+(-2)</f>
        <v>19.844247787604001</v>
      </c>
      <c r="J24" s="34">
        <f>(C24*1.1238938053)+(-3.9)</f>
        <v>17.116814159110003</v>
      </c>
      <c r="K24" s="34">
        <f>(C24*1.07964601769)+(-5.6)</f>
        <v>14.589380530803</v>
      </c>
    </row>
    <row r="25" spans="1:11" s="21" customFormat="1" ht="19.95" customHeight="1" x14ac:dyDescent="0.25">
      <c r="A25" s="13" t="str">
        <f>"22009"</f>
        <v>22009</v>
      </c>
      <c r="B25" s="14" t="s">
        <v>376</v>
      </c>
      <c r="C25" s="13" t="str">
        <f>"26.5"</f>
        <v>26.5</v>
      </c>
      <c r="D25" s="32">
        <f>(C25*1.24778761061)+(0.4)</f>
        <v>33.466371681165</v>
      </c>
      <c r="E25" s="33">
        <f>(C25*1.16814159292)+(-1)</f>
        <v>29.955752212380002</v>
      </c>
      <c r="F25" s="33">
        <f>(C25*1.1238938053)+(-4.4)</f>
        <v>25.383185840450004</v>
      </c>
      <c r="G25" s="33">
        <f>(C25*1.06194690265)+(-5.9)</f>
        <v>22.241592920224996</v>
      </c>
      <c r="H25" s="34">
        <f>(C25*1.19469026548)+(0)</f>
        <v>31.659292035220002</v>
      </c>
      <c r="I25" s="34">
        <f>(C25*1.16814159292)+(-2)</f>
        <v>28.955752212380002</v>
      </c>
      <c r="J25" s="34">
        <f>(C25*1.1238938053)+(-3.9)</f>
        <v>25.883185840450004</v>
      </c>
      <c r="K25" s="34">
        <f>(C25*1.07964601769)+(-5.6)</f>
        <v>23.010619468785002</v>
      </c>
    </row>
    <row r="26" spans="1:11" s="21" customFormat="1" ht="19.95" customHeight="1" x14ac:dyDescent="0.25">
      <c r="A26" s="13" t="str">
        <f>"1014983"</f>
        <v>1014983</v>
      </c>
      <c r="B26" s="14" t="s">
        <v>377</v>
      </c>
      <c r="C26" s="13" t="str">
        <f>"30.9"</f>
        <v>30.9</v>
      </c>
      <c r="D26" s="32">
        <f>(C26*1.24778761061)+(0.4)</f>
        <v>38.956637167849003</v>
      </c>
      <c r="E26" s="33">
        <f>(C26*1.16814159292)+(-1)</f>
        <v>35.095575221228003</v>
      </c>
      <c r="F26" s="33">
        <f>(C26*1.1238938053)+(-4.4)</f>
        <v>30.328318583769999</v>
      </c>
      <c r="G26" s="33">
        <f>(C26*1.06194690265)+(-5.9)</f>
        <v>26.914159291884999</v>
      </c>
      <c r="H26" s="34">
        <f>(C26*1.19469026548)+(0)</f>
        <v>36.915929203331999</v>
      </c>
      <c r="I26" s="34">
        <f>(C26*1.16814159292)+(-2)</f>
        <v>34.095575221228003</v>
      </c>
      <c r="J26" s="34">
        <f>(C26*1.1238938053)+(-3.9)</f>
        <v>30.828318583769999</v>
      </c>
      <c r="K26" s="34">
        <f>(C26*1.07964601769)+(-5.6)</f>
        <v>27.761061946620998</v>
      </c>
    </row>
    <row r="27" spans="1:11" s="21" customFormat="1" ht="19.95" customHeight="1" x14ac:dyDescent="0.25">
      <c r="A27" s="13" t="str">
        <f>"49710"</f>
        <v>49710</v>
      </c>
      <c r="B27" s="14" t="s">
        <v>378</v>
      </c>
      <c r="C27" s="13" t="str">
        <f>"5.3"</f>
        <v>5.3</v>
      </c>
      <c r="D27" s="32">
        <f>(C27*1.24778761061)+(0.4)</f>
        <v>7.0132743362330006</v>
      </c>
      <c r="E27" s="33">
        <f>(C27*1.16814159292)+(-1)</f>
        <v>5.1911504424760002</v>
      </c>
      <c r="F27" s="33">
        <f>(C27*1.1238938053)+(-4.4)</f>
        <v>1.55663716809</v>
      </c>
      <c r="G27" s="33">
        <f>(C27*1.06194690265)+(-5.9)</f>
        <v>-0.27168141595500117</v>
      </c>
      <c r="H27" s="34">
        <f>(C27*1.19469026548)+(0)</f>
        <v>6.3318584070439998</v>
      </c>
      <c r="I27" s="34">
        <f>(C27*1.16814159292)+(-2)</f>
        <v>4.1911504424760002</v>
      </c>
      <c r="J27" s="34">
        <f>(C27*1.1238938053)+(-3.9)</f>
        <v>2.0566371680900004</v>
      </c>
      <c r="K27" s="34">
        <f>(C27*1.07964601769)+(-5.6)</f>
        <v>0.12212389375700017</v>
      </c>
    </row>
    <row r="28" spans="1:11" s="21" customFormat="1" ht="19.95" customHeight="1" x14ac:dyDescent="0.25">
      <c r="A28" s="13" t="str">
        <f>"1001818"</f>
        <v>1001818</v>
      </c>
      <c r="B28" s="14" t="s">
        <v>379</v>
      </c>
      <c r="C28" s="13" t="str">
        <f>"25.3000"</f>
        <v>25.3000</v>
      </c>
      <c r="D28" s="32">
        <f>(C28*1.24778761061)+(0.4)</f>
        <v>31.969026548433003</v>
      </c>
      <c r="E28" s="33">
        <f>(C28*1.16814159292)+(-1)</f>
        <v>28.553982300876005</v>
      </c>
      <c r="F28" s="33">
        <f>(C28*1.1238938053)+(-4.4)</f>
        <v>24.034513274090003</v>
      </c>
      <c r="G28" s="33">
        <f>(C28*1.06194690265)+(-5.9)</f>
        <v>20.967256637044997</v>
      </c>
      <c r="H28" s="34">
        <f>(C28*1.19469026548)+(0)</f>
        <v>30.225663716644</v>
      </c>
      <c r="I28" s="34">
        <f>(C28*1.16814159292)+(-2)</f>
        <v>27.553982300876005</v>
      </c>
      <c r="J28" s="34">
        <f>(C28*1.1238938053)+(-3.9)</f>
        <v>24.534513274090003</v>
      </c>
      <c r="K28" s="34">
        <f>(C28*1.07964601769)+(-5.6)</f>
        <v>21.715044247557003</v>
      </c>
    </row>
    <row r="29" spans="1:11" s="21" customFormat="1" ht="19.95" customHeight="1" x14ac:dyDescent="0.25">
      <c r="A29" s="13" t="str">
        <f>"22512"</f>
        <v>22512</v>
      </c>
      <c r="B29" s="14" t="s">
        <v>380</v>
      </c>
      <c r="C29" s="13" t="str">
        <f>"17.7"</f>
        <v>17.7</v>
      </c>
      <c r="D29" s="32">
        <f>(C29*1.24778761061)+(0.4)</f>
        <v>22.485840707796999</v>
      </c>
      <c r="E29" s="33">
        <f>(C29*1.16814159292)+(-1)</f>
        <v>19.676106194683999</v>
      </c>
      <c r="F29" s="33">
        <f>(C29*1.1238938053)+(-4.4)</f>
        <v>15.492920353809998</v>
      </c>
      <c r="G29" s="33">
        <f>(C29*1.06194690265)+(-5.9)</f>
        <v>12.896460176904997</v>
      </c>
      <c r="H29" s="34">
        <f>(C29*1.19469026548)+(0)</f>
        <v>21.146017698996001</v>
      </c>
      <c r="I29" s="34">
        <f>(C29*1.16814159292)+(-2)</f>
        <v>18.676106194683999</v>
      </c>
      <c r="J29" s="34">
        <f>(C29*1.1238938053)+(-3.9)</f>
        <v>15.992920353809998</v>
      </c>
      <c r="K29" s="34">
        <f>(C29*1.07964601769)+(-5.6)</f>
        <v>13.509734513113001</v>
      </c>
    </row>
    <row r="30" spans="1:11" s="21" customFormat="1" ht="19.95" customHeight="1" x14ac:dyDescent="0.25">
      <c r="A30" s="13" t="str">
        <f>"12507"</f>
        <v>12507</v>
      </c>
      <c r="B30" s="14" t="s">
        <v>381</v>
      </c>
      <c r="C30" s="13" t="str">
        <f>"16.8"</f>
        <v>16.8</v>
      </c>
      <c r="D30" s="32">
        <f>(C30*1.24778761061)+(0.4)</f>
        <v>21.362831858248001</v>
      </c>
      <c r="E30" s="33">
        <f>(C30*1.16814159292)+(-1)</f>
        <v>18.624778761056003</v>
      </c>
      <c r="F30" s="33">
        <f>(C30*1.1238938053)+(-4.4)</f>
        <v>14.481415929040002</v>
      </c>
      <c r="G30" s="33">
        <f>(C30*1.06194690265)+(-5.9)</f>
        <v>11.94070796452</v>
      </c>
      <c r="H30" s="34">
        <f>(C30*1.19469026548)+(0)</f>
        <v>20.070796460064003</v>
      </c>
      <c r="I30" s="34">
        <f>(C30*1.16814159292)+(-2)</f>
        <v>17.624778761056003</v>
      </c>
      <c r="J30" s="34">
        <f>(C30*1.1238938053)+(-3.9)</f>
        <v>14.981415929040002</v>
      </c>
      <c r="K30" s="34">
        <f>(C30*1.07964601769)+(-5.6)</f>
        <v>12.538053097192</v>
      </c>
    </row>
    <row r="31" spans="1:11" s="21" customFormat="1" ht="19.95" customHeight="1" x14ac:dyDescent="0.25">
      <c r="A31" s="13" t="str">
        <f>"67882"</f>
        <v>67882</v>
      </c>
      <c r="B31" s="14" t="s">
        <v>382</v>
      </c>
      <c r="C31" s="13" t="str">
        <f>"19.6"</f>
        <v>19.6</v>
      </c>
      <c r="D31" s="32">
        <f>(C31*1.24778761061)+(0.4)</f>
        <v>24.856637167956002</v>
      </c>
      <c r="E31" s="33">
        <f>(C31*1.16814159292)+(-1)</f>
        <v>21.895575221232004</v>
      </c>
      <c r="F31" s="33">
        <f>(C31*1.1238938053)+(-4.4)</f>
        <v>17.628318583880002</v>
      </c>
      <c r="G31" s="33">
        <f>(C31*1.06194690265)+(-5.9)</f>
        <v>14.914159291940001</v>
      </c>
      <c r="H31" s="34">
        <f>(C31*1.19469026548)+(0)</f>
        <v>23.415929203408002</v>
      </c>
      <c r="I31" s="34">
        <f>(C31*1.16814159292)+(-2)</f>
        <v>20.895575221232004</v>
      </c>
      <c r="J31" s="34">
        <f>(C31*1.1238938053)+(-3.9)</f>
        <v>18.128318583880002</v>
      </c>
      <c r="K31" s="34">
        <f>(C31*1.07964601769)+(-5.6)</f>
        <v>15.561061946724001</v>
      </c>
    </row>
    <row r="32" spans="1:11" s="21" customFormat="1" ht="19.95" customHeight="1" x14ac:dyDescent="0.25">
      <c r="A32" s="13" t="str">
        <f>"44237"</f>
        <v>44237</v>
      </c>
      <c r="B32" s="14" t="s">
        <v>383</v>
      </c>
      <c r="C32" s="13" t="str">
        <f>"2.3"</f>
        <v>2.3</v>
      </c>
      <c r="D32" s="32">
        <f>(C32*1.24778761061)+(0.4)</f>
        <v>3.2699115044029998</v>
      </c>
      <c r="E32" s="33">
        <f>(C32*1.16814159292)+(-1)</f>
        <v>1.686725663716</v>
      </c>
      <c r="F32" s="33">
        <f>(C32*1.1238938053)+(-4.4)</f>
        <v>-1.8150442478100004</v>
      </c>
      <c r="G32" s="33">
        <f>(C32*1.06194690265)+(-5.9)</f>
        <v>-3.4575221239050009</v>
      </c>
      <c r="H32" s="34">
        <f>(C32*1.19469026548)+(0)</f>
        <v>2.747787610604</v>
      </c>
      <c r="I32" s="34">
        <f>(C32*1.16814159292)+(-2)</f>
        <v>0.68672566371599997</v>
      </c>
      <c r="J32" s="34">
        <f>(C32*1.1238938053)+(-3.9)</f>
        <v>-1.31504424781</v>
      </c>
      <c r="K32" s="34">
        <f>(C32*1.07964601769)+(-5.6)</f>
        <v>-3.1168141593129999</v>
      </c>
    </row>
    <row r="33" spans="1:11" s="21" customFormat="1" ht="19.95" customHeight="1" x14ac:dyDescent="0.25">
      <c r="A33" s="13" t="str">
        <f>"76995"</f>
        <v>76995</v>
      </c>
      <c r="B33" s="14" t="s">
        <v>384</v>
      </c>
      <c r="C33" s="13" t="str">
        <f>"15.7"</f>
        <v>15.7</v>
      </c>
      <c r="D33" s="32">
        <f>(C33*1.24778761061)+(0.4)</f>
        <v>19.990265486576998</v>
      </c>
      <c r="E33" s="33">
        <f>(C33*1.16814159292)+(-1)</f>
        <v>17.339823008844</v>
      </c>
      <c r="F33" s="33">
        <f>(C33*1.1238938053)+(-4.4)</f>
        <v>13.245132743209998</v>
      </c>
      <c r="G33" s="33">
        <f>(C33*1.06194690265)+(-5.9)</f>
        <v>10.772566371604997</v>
      </c>
      <c r="H33" s="34">
        <f>(C33*1.19469026548)+(0)</f>
        <v>18.756637168036001</v>
      </c>
      <c r="I33" s="34">
        <f>(C33*1.16814159292)+(-2)</f>
        <v>16.339823008844</v>
      </c>
      <c r="J33" s="34">
        <f>(C33*1.1238938053)+(-3.9)</f>
        <v>13.745132743209998</v>
      </c>
      <c r="K33" s="34">
        <f>(C33*1.07964601769)+(-5.6)</f>
        <v>11.350442477732999</v>
      </c>
    </row>
    <row r="34" spans="1:11" s="21" customFormat="1" ht="19.95" customHeight="1" x14ac:dyDescent="0.25">
      <c r="A34" s="13" t="str">
        <f>"41370"</f>
        <v>41370</v>
      </c>
      <c r="B34" s="14" t="s">
        <v>385</v>
      </c>
      <c r="C34" s="13" t="str">
        <f>"10.9"</f>
        <v>10.9</v>
      </c>
      <c r="D34" s="32">
        <f>(C34*1.24778761061)+(0.4)</f>
        <v>14.000884955649003</v>
      </c>
      <c r="E34" s="33">
        <f>(C34*1.16814159292)+(-1)</f>
        <v>11.732743362828002</v>
      </c>
      <c r="F34" s="33">
        <f>(C34*1.1238938053)+(-4.4)</f>
        <v>7.8504424777700006</v>
      </c>
      <c r="G34" s="33">
        <f>(C34*1.06194690265)+(-5.9)</f>
        <v>5.6752212388849994</v>
      </c>
      <c r="H34" s="34">
        <f>(C34*1.19469026548)+(0)</f>
        <v>13.022123893732001</v>
      </c>
      <c r="I34" s="34">
        <f>(C34*1.16814159292)+(-2)</f>
        <v>10.732743362828002</v>
      </c>
      <c r="J34" s="34">
        <f>(C34*1.1238938053)+(-3.9)</f>
        <v>8.3504424777700006</v>
      </c>
      <c r="K34" s="34">
        <f>(C34*1.07964601769)+(-5.6)</f>
        <v>6.1681415928210015</v>
      </c>
    </row>
    <row r="35" spans="1:11" s="21" customFormat="1" ht="19.95" customHeight="1" x14ac:dyDescent="0.25">
      <c r="A35" s="13" t="str">
        <f>"13982"</f>
        <v>13982</v>
      </c>
      <c r="B35" s="14" t="s">
        <v>386</v>
      </c>
      <c r="C35" s="13" t="str">
        <f>"29.2"</f>
        <v>29.2</v>
      </c>
      <c r="D35" s="32">
        <f>(C35*1.24778761061)+(0.4)</f>
        <v>36.835398229812</v>
      </c>
      <c r="E35" s="33">
        <f>(C35*1.16814159292)+(-1)</f>
        <v>33.109734513264002</v>
      </c>
      <c r="F35" s="33">
        <f>(C35*1.1238938053)+(-4.4)</f>
        <v>28.417699114760005</v>
      </c>
      <c r="G35" s="33">
        <f>(C35*1.06194690265)+(-5.9)</f>
        <v>25.108849557379997</v>
      </c>
      <c r="H35" s="34">
        <f>(C35*1.19469026548)+(0)</f>
        <v>34.884955752015998</v>
      </c>
      <c r="I35" s="34">
        <f>(C35*1.16814159292)+(-2)</f>
        <v>32.109734513264002</v>
      </c>
      <c r="J35" s="34">
        <f>(C35*1.1238938053)+(-3.9)</f>
        <v>28.917699114760005</v>
      </c>
      <c r="K35" s="34">
        <f>(C35*1.07964601769)+(-5.6)</f>
        <v>25.925663716548002</v>
      </c>
    </row>
    <row r="36" spans="1:11" s="21" customFormat="1" ht="19.95" customHeight="1" x14ac:dyDescent="0.25">
      <c r="A36" s="13" t="str">
        <f>"11929"</f>
        <v>11929</v>
      </c>
      <c r="B36" s="14" t="s">
        <v>387</v>
      </c>
      <c r="C36" s="13" t="str">
        <f>"24.6"</f>
        <v>24.6</v>
      </c>
      <c r="D36" s="32">
        <f>(C36*1.24778761061)+(0.4)</f>
        <v>31.095575221006001</v>
      </c>
      <c r="E36" s="33">
        <f>(C36*1.16814159292)+(-1)</f>
        <v>27.736283185832004</v>
      </c>
      <c r="F36" s="33">
        <f>(C36*1.1238938053)+(-4.4)</f>
        <v>23.247787610380001</v>
      </c>
      <c r="G36" s="33">
        <f>(C36*1.06194690265)+(-5.9)</f>
        <v>20.223893805190002</v>
      </c>
      <c r="H36" s="34">
        <f>(C36*1.19469026548)+(0)</f>
        <v>29.389380530808001</v>
      </c>
      <c r="I36" s="34">
        <f>(C36*1.16814159292)+(-2)</f>
        <v>26.736283185832004</v>
      </c>
      <c r="J36" s="34">
        <f>(C36*1.1238938053)+(-3.9)</f>
        <v>23.747787610380005</v>
      </c>
      <c r="K36" s="34">
        <f>(C36*1.07964601769)+(-5.6)</f>
        <v>20.959292035174002</v>
      </c>
    </row>
    <row r="37" spans="1:11" s="21" customFormat="1" ht="19.95" customHeight="1" x14ac:dyDescent="0.25">
      <c r="A37" s="13" t="str">
        <f>"15515"</f>
        <v>15515</v>
      </c>
      <c r="B37" s="14" t="s">
        <v>388</v>
      </c>
      <c r="C37" s="13" t="str">
        <f>"22.3"</f>
        <v>22.3</v>
      </c>
      <c r="D37" s="32">
        <f>(C37*1.24778761061)+(0.4)</f>
        <v>28.225663716603002</v>
      </c>
      <c r="E37" s="33">
        <f>(C37*1.16814159292)+(-1)</f>
        <v>25.049557522116004</v>
      </c>
      <c r="F37" s="33">
        <f>(C37*1.1238938053)+(-4.4)</f>
        <v>20.662831858190003</v>
      </c>
      <c r="G37" s="33">
        <f>(C37*1.06194690265)+(-5.9)</f>
        <v>17.781415929094997</v>
      </c>
      <c r="H37" s="34">
        <f>(C37*1.19469026548)+(0)</f>
        <v>26.641592920204001</v>
      </c>
      <c r="I37" s="34">
        <f>(C37*1.16814159292)+(-2)</f>
        <v>24.049557522116004</v>
      </c>
      <c r="J37" s="34">
        <f>(C37*1.1238938053)+(-3.9)</f>
        <v>21.162831858190003</v>
      </c>
      <c r="K37" s="34">
        <f>(C37*1.07964601769)+(-5.6)</f>
        <v>18.476106194487002</v>
      </c>
    </row>
    <row r="38" spans="1:11" s="21" customFormat="1" ht="19.95" customHeight="1" x14ac:dyDescent="0.25">
      <c r="A38" s="13" t="str">
        <f>"7275"</f>
        <v>7275</v>
      </c>
      <c r="B38" s="14" t="s">
        <v>389</v>
      </c>
      <c r="C38" s="13" t="str">
        <f>"18.2"</f>
        <v>18.2</v>
      </c>
      <c r="D38" s="32">
        <f>(C38*1.24778761061)+(0.4)</f>
        <v>23.109734513101998</v>
      </c>
      <c r="E38" s="33">
        <f>(C38*1.16814159292)+(-1)</f>
        <v>20.260176991144</v>
      </c>
      <c r="F38" s="33">
        <f>(C38*1.1238938053)+(-4.4)</f>
        <v>16.05486725646</v>
      </c>
      <c r="G38" s="33">
        <f>(C38*1.06194690265)+(-5.9)</f>
        <v>13.427433628229997</v>
      </c>
      <c r="H38" s="34">
        <f>(C38*1.19469026548)+(0)</f>
        <v>21.743362831736</v>
      </c>
      <c r="I38" s="34">
        <f>(C38*1.16814159292)+(-2)</f>
        <v>19.260176991144</v>
      </c>
      <c r="J38" s="34">
        <f>(C38*1.1238938053)+(-3.9)</f>
        <v>16.554867256460003</v>
      </c>
      <c r="K38" s="34">
        <f>(C38*1.07964601769)+(-5.6)</f>
        <v>14.049557521957999</v>
      </c>
    </row>
    <row r="39" spans="1:11" s="21" customFormat="1" ht="19.95" customHeight="1" x14ac:dyDescent="0.25">
      <c r="A39" s="13" t="str">
        <f>"15517"</f>
        <v>15517</v>
      </c>
      <c r="B39" s="14" t="s">
        <v>390</v>
      </c>
      <c r="C39" s="13" t="str">
        <f>"22.8"</f>
        <v>22.8</v>
      </c>
      <c r="D39" s="32">
        <f>(C39*1.24778761061)+(0.4)</f>
        <v>28.849557521908</v>
      </c>
      <c r="E39" s="33">
        <f>(C39*1.16814159292)+(-1)</f>
        <v>25.633628318576001</v>
      </c>
      <c r="F39" s="33">
        <f>(C39*1.1238938053)+(-4.4)</f>
        <v>21.224778760840003</v>
      </c>
      <c r="G39" s="33">
        <f>(C39*1.06194690265)+(-5.9)</f>
        <v>18.312389380420001</v>
      </c>
      <c r="H39" s="34">
        <f>(C39*1.19469026548)+(0)</f>
        <v>27.238938052944</v>
      </c>
      <c r="I39" s="34">
        <f>(C39*1.16814159292)+(-2)</f>
        <v>24.633628318576001</v>
      </c>
      <c r="J39" s="34">
        <f>(C39*1.1238938053)+(-3.9)</f>
        <v>21.724778760840003</v>
      </c>
      <c r="K39" s="34">
        <f>(C39*1.07964601769)+(-5.6)</f>
        <v>19.015929203332</v>
      </c>
    </row>
    <row r="40" spans="1:11" s="21" customFormat="1" ht="19.95" customHeight="1" x14ac:dyDescent="0.25">
      <c r="A40" s="13" t="str">
        <f>"15519"</f>
        <v>15519</v>
      </c>
      <c r="B40" s="14" t="s">
        <v>391</v>
      </c>
      <c r="C40" s="13" t="str">
        <f>"21.7"</f>
        <v>21.7</v>
      </c>
      <c r="D40" s="32">
        <f>(C40*1.24778761061)+(0.4)</f>
        <v>27.476991150237001</v>
      </c>
      <c r="E40" s="33">
        <f>(C40*1.16814159292)+(-1)</f>
        <v>24.348672566364002</v>
      </c>
      <c r="F40" s="33">
        <f>(C40*1.1238938053)+(-4.4)</f>
        <v>19.988495575009999</v>
      </c>
      <c r="G40" s="33">
        <f>(C40*1.06194690265)+(-5.9)</f>
        <v>17.144247787504995</v>
      </c>
      <c r="H40" s="34">
        <f>(C40*1.19469026548)+(0)</f>
        <v>25.924778760915999</v>
      </c>
      <c r="I40" s="34">
        <f>(C40*1.16814159292)+(-2)</f>
        <v>23.348672566364002</v>
      </c>
      <c r="J40" s="34">
        <f>(C40*1.1238938053)+(-3.9)</f>
        <v>20.488495575010003</v>
      </c>
      <c r="K40" s="34">
        <f>(C40*1.07964601769)+(-5.6)</f>
        <v>17.828318583872999</v>
      </c>
    </row>
    <row r="41" spans="1:11" s="21" customFormat="1" ht="19.95" customHeight="1" x14ac:dyDescent="0.25">
      <c r="A41" s="13" t="str">
        <f>"1002248"</f>
        <v>1002248</v>
      </c>
      <c r="B41" s="14" t="s">
        <v>392</v>
      </c>
      <c r="C41" s="13" t="str">
        <f>"26.3"</f>
        <v>26.3</v>
      </c>
      <c r="D41" s="32">
        <f>(C41*1.24778761061)+(0.4)</f>
        <v>33.216814159043004</v>
      </c>
      <c r="E41" s="33">
        <f>(C41*1.16814159292)+(-1)</f>
        <v>29.722123893796002</v>
      </c>
      <c r="F41" s="33">
        <f>(C41*1.1238938053)+(-4.4)</f>
        <v>25.158407079390003</v>
      </c>
      <c r="G41" s="33">
        <f>(C41*1.06194690265)+(-5.9)</f>
        <v>22.029203539694997</v>
      </c>
      <c r="H41" s="34">
        <f>(C41*1.19469026548)+(0)</f>
        <v>31.420353982124002</v>
      </c>
      <c r="I41" s="34">
        <f>(C41*1.16814159292)+(-2)</f>
        <v>28.722123893796002</v>
      </c>
      <c r="J41" s="34">
        <f>(C41*1.1238938053)+(-3.9)</f>
        <v>25.658407079390003</v>
      </c>
      <c r="K41" s="34">
        <f>(C41*1.07964601769)+(-5.6)</f>
        <v>22.794690265246999</v>
      </c>
    </row>
    <row r="42" spans="1:11" s="21" customFormat="1" ht="19.95" customHeight="1" x14ac:dyDescent="0.25">
      <c r="A42" s="13" t="str">
        <f>"15520"</f>
        <v>15520</v>
      </c>
      <c r="B42" s="14" t="s">
        <v>393</v>
      </c>
      <c r="C42" s="13" t="str">
        <f>"16.6"</f>
        <v>16.6</v>
      </c>
      <c r="D42" s="32">
        <f>(C42*1.24778761061)+(0.4)</f>
        <v>21.113274336126</v>
      </c>
      <c r="E42" s="33">
        <f>(C42*1.16814159292)+(-1)</f>
        <v>18.391150442472004</v>
      </c>
      <c r="F42" s="33">
        <f>(C42*1.1238938053)+(-4.4)</f>
        <v>14.256637167980001</v>
      </c>
      <c r="G42" s="33">
        <f>(C42*1.06194690265)+(-5.9)</f>
        <v>11.728318583990001</v>
      </c>
      <c r="H42" s="34">
        <f>(C42*1.19469026548)+(0)</f>
        <v>19.831858406968003</v>
      </c>
      <c r="I42" s="34">
        <f>(C42*1.16814159292)+(-2)</f>
        <v>17.391150442472004</v>
      </c>
      <c r="J42" s="34">
        <f>(C42*1.1238938053)+(-3.9)</f>
        <v>14.756637167980001</v>
      </c>
      <c r="K42" s="34">
        <f>(C42*1.07964601769)+(-5.6)</f>
        <v>12.322123893654004</v>
      </c>
    </row>
    <row r="43" spans="1:11" s="21" customFormat="1" ht="19.95" customHeight="1" x14ac:dyDescent="0.25">
      <c r="A43" s="13" t="str">
        <f>"15523"</f>
        <v>15523</v>
      </c>
      <c r="B43" s="14" t="s">
        <v>394</v>
      </c>
      <c r="C43" s="13" t="str">
        <f>"22.7"</f>
        <v>22.7</v>
      </c>
      <c r="D43" s="32">
        <f>(C43*1.24778761061)+(0.4)</f>
        <v>28.724778760846998</v>
      </c>
      <c r="E43" s="33">
        <f>(C43*1.16814159292)+(-1)</f>
        <v>25.516814159283999</v>
      </c>
      <c r="F43" s="33">
        <f>(C43*1.1238938053)+(-4.4)</f>
        <v>21.112389380309999</v>
      </c>
      <c r="G43" s="33">
        <f>(C43*1.06194690265)+(-5.9)</f>
        <v>18.206194690154994</v>
      </c>
      <c r="H43" s="34">
        <f>(C43*1.19469026548)+(0)</f>
        <v>27.119469026396001</v>
      </c>
      <c r="I43" s="34">
        <f>(C43*1.16814159292)+(-2)</f>
        <v>24.516814159283999</v>
      </c>
      <c r="J43" s="34">
        <f>(C43*1.1238938053)+(-3.9)</f>
        <v>21.612389380310002</v>
      </c>
      <c r="K43" s="34">
        <f>(C43*1.07964601769)+(-5.6)</f>
        <v>18.907964601563002</v>
      </c>
    </row>
    <row r="44" spans="1:11" s="21" customFormat="1" ht="19.95" customHeight="1" x14ac:dyDescent="0.25">
      <c r="A44" s="13" t="str">
        <f>"47589"</f>
        <v>47589</v>
      </c>
      <c r="B44" s="14" t="s">
        <v>395</v>
      </c>
      <c r="C44" s="13" t="str">
        <f>"12.1"</f>
        <v>12.1</v>
      </c>
      <c r="D44" s="32">
        <f>(C44*1.24778761061)+(0.4)</f>
        <v>15.498230088381002</v>
      </c>
      <c r="E44" s="33">
        <f>(C44*1.16814159292)+(-1)</f>
        <v>13.134513274332001</v>
      </c>
      <c r="F44" s="33">
        <f>(C44*1.1238938053)+(-4.4)</f>
        <v>9.19911504413</v>
      </c>
      <c r="G44" s="33">
        <f>(C44*1.06194690265)+(-5.9)</f>
        <v>6.9495575220649979</v>
      </c>
      <c r="H44" s="34">
        <f>(C44*1.19469026548)+(0)</f>
        <v>14.455752212307999</v>
      </c>
      <c r="I44" s="34">
        <f>(C44*1.16814159292)+(-2)</f>
        <v>12.134513274332001</v>
      </c>
      <c r="J44" s="34">
        <f>(C44*1.1238938053)+(-3.9)</f>
        <v>9.69911504413</v>
      </c>
      <c r="K44" s="34">
        <f>(C44*1.07964601769)+(-5.6)</f>
        <v>7.4637168140490004</v>
      </c>
    </row>
    <row r="45" spans="1:11" s="21" customFormat="1" ht="19.95" customHeight="1" x14ac:dyDescent="0.25">
      <c r="A45" s="13" t="str">
        <f>"74732"</f>
        <v>74732</v>
      </c>
      <c r="B45" s="14" t="s">
        <v>396</v>
      </c>
      <c r="C45" s="13" t="str">
        <f>"40.6"</f>
        <v>40.6</v>
      </c>
      <c r="D45" s="32">
        <f>(C45*1.24778761061)+(0.4)</f>
        <v>51.060176990766003</v>
      </c>
      <c r="E45" s="33">
        <f>(C45*1.16814159292)+(-1)</f>
        <v>46.426548672552002</v>
      </c>
      <c r="F45" s="33">
        <f>(C45*1.1238938053)+(-4.4)</f>
        <v>41.230088495180006</v>
      </c>
      <c r="G45" s="33">
        <f>(C45*1.06194690265)+(-5.9)</f>
        <v>37.215044247590001</v>
      </c>
      <c r="H45" s="34">
        <f>(C45*1.19469026548)+(0)</f>
        <v>48.504424778488001</v>
      </c>
      <c r="I45" s="34">
        <f>(C45*1.16814159292)+(-2)</f>
        <v>45.426548672552002</v>
      </c>
      <c r="J45" s="34">
        <f>(C45*1.1238938053)+(-3.9)</f>
        <v>41.730088495180006</v>
      </c>
      <c r="K45" s="34">
        <f>(C45*1.07964601769)+(-5.6)</f>
        <v>38.233628318214002</v>
      </c>
    </row>
    <row r="46" spans="1:11" s="21" customFormat="1" ht="19.95" customHeight="1" x14ac:dyDescent="0.25">
      <c r="A46" s="13" t="str">
        <f>"15526"</f>
        <v>15526</v>
      </c>
      <c r="B46" s="14" t="s">
        <v>397</v>
      </c>
      <c r="C46" s="13" t="str">
        <f>"30.7"</f>
        <v>30.7</v>
      </c>
      <c r="D46" s="32">
        <f>(C46*1.24778761061)+(0.4)</f>
        <v>38.707079645726999</v>
      </c>
      <c r="E46" s="33">
        <f>(C46*1.16814159292)+(-1)</f>
        <v>34.861946902644</v>
      </c>
      <c r="F46" s="33">
        <f>(C46*1.1238938053)+(-4.4)</f>
        <v>30.103539822710005</v>
      </c>
      <c r="G46" s="33">
        <f>(C46*1.06194690265)+(-5.9)</f>
        <v>26.701769911355001</v>
      </c>
      <c r="H46" s="34">
        <f>(C46*1.19469026548)+(0)</f>
        <v>36.676991150235999</v>
      </c>
      <c r="I46" s="34">
        <f>(C46*1.16814159292)+(-2)</f>
        <v>33.861946902644</v>
      </c>
      <c r="J46" s="34">
        <f>(C46*1.1238938053)+(-3.9)</f>
        <v>30.603539822710005</v>
      </c>
      <c r="K46" s="34">
        <f>(C46*1.07964601769)+(-5.6)</f>
        <v>27.545132743082995</v>
      </c>
    </row>
    <row r="47" spans="1:11" s="21" customFormat="1" ht="19.95" customHeight="1" x14ac:dyDescent="0.25">
      <c r="A47" s="13" t="str">
        <f>"47324"</f>
        <v>47324</v>
      </c>
      <c r="B47" s="14" t="s">
        <v>398</v>
      </c>
      <c r="C47" s="13" t="str">
        <f>"26.6"</f>
        <v>26.6</v>
      </c>
      <c r="D47" s="32">
        <f>(C47*1.24778761061)+(0.4)</f>
        <v>33.591150442226002</v>
      </c>
      <c r="E47" s="33">
        <f>(C47*1.16814159292)+(-1)</f>
        <v>30.072566371672004</v>
      </c>
      <c r="F47" s="33">
        <f>(C47*1.1238938053)+(-4.4)</f>
        <v>25.495575220980001</v>
      </c>
      <c r="G47" s="33">
        <f>(C47*1.06194690265)+(-5.9)</f>
        <v>22.347787610490002</v>
      </c>
      <c r="H47" s="34">
        <f>(C47*1.19469026548)+(0)</f>
        <v>31.778761061768002</v>
      </c>
      <c r="I47" s="34">
        <f>(C47*1.16814159292)+(-2)</f>
        <v>29.072566371672004</v>
      </c>
      <c r="J47" s="34">
        <f>(C47*1.1238938053)+(-3.9)</f>
        <v>25.995575220980005</v>
      </c>
      <c r="K47" s="34">
        <f>(C47*1.07964601769)+(-5.6)</f>
        <v>23.118584070554</v>
      </c>
    </row>
    <row r="48" spans="1:11" s="21" customFormat="1" ht="19.95" customHeight="1" x14ac:dyDescent="0.25">
      <c r="A48" s="13" t="str">
        <f>"1003869"</f>
        <v>1003869</v>
      </c>
      <c r="B48" s="14" t="s">
        <v>399</v>
      </c>
      <c r="C48" s="13" t="str">
        <f>"22.6"</f>
        <v>22.6</v>
      </c>
      <c r="D48" s="32">
        <f>(C48*1.24778761061)+(0.4)</f>
        <v>28.599999999786004</v>
      </c>
      <c r="E48" s="33">
        <f>(C48*1.16814159292)+(-1)</f>
        <v>25.399999999992005</v>
      </c>
      <c r="F48" s="33">
        <f>(C48*1.1238938053)+(-4.4)</f>
        <v>20.999999999780002</v>
      </c>
      <c r="G48" s="33">
        <f>(C48*1.06194690265)+(-5.9)</f>
        <v>18.099999999890002</v>
      </c>
      <c r="H48" s="34">
        <f>(C48*1.19469026548)+(0)</f>
        <v>26.999999999848001</v>
      </c>
      <c r="I48" s="34">
        <f>(C48*1.16814159292)+(-2)</f>
        <v>24.399999999992005</v>
      </c>
      <c r="J48" s="34">
        <f>(C48*1.1238938053)+(-3.9)</f>
        <v>21.499999999780005</v>
      </c>
      <c r="K48" s="34">
        <f>(C48*1.07964601769)+(-5.6)</f>
        <v>18.799999999794004</v>
      </c>
    </row>
    <row r="49" spans="1:11" s="21" customFormat="1" ht="19.95" customHeight="1" x14ac:dyDescent="0.25">
      <c r="A49" s="13" t="str">
        <f>"47428"</f>
        <v>47428</v>
      </c>
      <c r="B49" s="14" t="s">
        <v>400</v>
      </c>
      <c r="C49" s="13" t="str">
        <f>"20.6"</f>
        <v>20.6</v>
      </c>
      <c r="D49" s="32">
        <f>(C49*1.24778761061)+(0.4)</f>
        <v>26.104424778566003</v>
      </c>
      <c r="E49" s="33">
        <f>(C49*1.16814159292)+(-1)</f>
        <v>23.063716814152002</v>
      </c>
      <c r="F49" s="33">
        <f>(C49*1.1238938053)+(-4.4)</f>
        <v>18.752212389180002</v>
      </c>
      <c r="G49" s="33">
        <f>(C49*1.06194690265)+(-5.9)</f>
        <v>15.976106194590001</v>
      </c>
      <c r="H49" s="34">
        <f>(C49*1.19469026548)+(0)</f>
        <v>24.610619468888</v>
      </c>
      <c r="I49" s="34">
        <f>(C49*1.16814159292)+(-2)</f>
        <v>22.063716814152002</v>
      </c>
      <c r="J49" s="34">
        <f>(C49*1.1238938053)+(-3.9)</f>
        <v>19.252212389180006</v>
      </c>
      <c r="K49" s="34">
        <f>(C49*1.07964601769)+(-5.6)</f>
        <v>16.640707964414005</v>
      </c>
    </row>
    <row r="50" spans="1:11" s="21" customFormat="1" ht="19.95" customHeight="1" x14ac:dyDescent="0.25">
      <c r="A50" s="13" t="str">
        <f>"19276"</f>
        <v>19276</v>
      </c>
      <c r="B50" s="14" t="s">
        <v>401</v>
      </c>
      <c r="C50" s="13" t="str">
        <f>"27.4"</f>
        <v>27.4</v>
      </c>
      <c r="D50" s="32">
        <f>(C50*1.24778761061)+(0.4)</f>
        <v>34.589380530714003</v>
      </c>
      <c r="E50" s="33">
        <f>(C50*1.16814159292)+(-1)</f>
        <v>31.007079646008002</v>
      </c>
      <c r="F50" s="33">
        <f>(C50*1.1238938053)+(-4.4)</f>
        <v>26.39469026522</v>
      </c>
      <c r="G50" s="33">
        <f>(C50*1.06194690265)+(-5.9)</f>
        <v>23.197345132609996</v>
      </c>
      <c r="H50" s="34">
        <f>(C50*1.19469026548)+(0)</f>
        <v>32.734513274152</v>
      </c>
      <c r="I50" s="34">
        <f>(C50*1.16814159292)+(-2)</f>
        <v>30.007079646008002</v>
      </c>
      <c r="J50" s="34">
        <f>(C50*1.1238938053)+(-3.9)</f>
        <v>26.89469026522</v>
      </c>
      <c r="K50" s="34">
        <f>(C50*1.07964601769)+(-5.6)</f>
        <v>23.982300884706</v>
      </c>
    </row>
    <row r="51" spans="1:11" s="21" customFormat="1" ht="19.95" customHeight="1" x14ac:dyDescent="0.25">
      <c r="A51" s="13" t="str">
        <f>"15531"</f>
        <v>15531</v>
      </c>
      <c r="B51" s="14" t="s">
        <v>402</v>
      </c>
      <c r="C51" s="13" t="str">
        <f>"14.9"</f>
        <v>14.9</v>
      </c>
      <c r="D51" s="32">
        <f>(C51*1.24778761061)+(0.4)</f>
        <v>18.992035398089001</v>
      </c>
      <c r="E51" s="33">
        <f>(C51*1.16814159292)+(-1)</f>
        <v>16.405309734508002</v>
      </c>
      <c r="F51" s="33">
        <f>(C51*1.1238938053)+(-4.4)</f>
        <v>12.34601769897</v>
      </c>
      <c r="G51" s="33">
        <f>(C51*1.06194690265)+(-5.9)</f>
        <v>9.9230088494849991</v>
      </c>
      <c r="H51" s="34">
        <f>(C51*1.19469026548)+(0)</f>
        <v>17.800884955652002</v>
      </c>
      <c r="I51" s="34">
        <f>(C51*1.16814159292)+(-2)</f>
        <v>15.405309734508002</v>
      </c>
      <c r="J51" s="34">
        <f>(C51*1.1238938053)+(-3.9)</f>
        <v>12.84601769897</v>
      </c>
      <c r="K51" s="34">
        <f>(C51*1.07964601769)+(-5.6)</f>
        <v>10.486725663581</v>
      </c>
    </row>
    <row r="52" spans="1:11" s="21" customFormat="1" ht="19.95" customHeight="1" x14ac:dyDescent="0.25">
      <c r="A52" s="13" t="str">
        <f>"45475"</f>
        <v>45475</v>
      </c>
      <c r="B52" s="14" t="s">
        <v>403</v>
      </c>
      <c r="C52" s="13" t="str">
        <f>"24.6"</f>
        <v>24.6</v>
      </c>
      <c r="D52" s="32">
        <f>(C52*1.24778761061)+(0.4)</f>
        <v>31.095575221006001</v>
      </c>
      <c r="E52" s="33">
        <f>(C52*1.16814159292)+(-1)</f>
        <v>27.736283185832004</v>
      </c>
      <c r="F52" s="33">
        <f>(C52*1.1238938053)+(-4.4)</f>
        <v>23.247787610380001</v>
      </c>
      <c r="G52" s="33">
        <f>(C52*1.06194690265)+(-5.9)</f>
        <v>20.223893805190002</v>
      </c>
      <c r="H52" s="34">
        <f>(C52*1.19469026548)+(0)</f>
        <v>29.389380530808001</v>
      </c>
      <c r="I52" s="34">
        <f>(C52*1.16814159292)+(-2)</f>
        <v>26.736283185832004</v>
      </c>
      <c r="J52" s="34">
        <f>(C52*1.1238938053)+(-3.9)</f>
        <v>23.747787610380005</v>
      </c>
      <c r="K52" s="34">
        <f>(C52*1.07964601769)+(-5.6)</f>
        <v>20.959292035174002</v>
      </c>
    </row>
    <row r="53" spans="1:11" s="21" customFormat="1" ht="19.95" customHeight="1" x14ac:dyDescent="0.25">
      <c r="A53" s="13" t="str">
        <f>"15533"</f>
        <v>15533</v>
      </c>
      <c r="B53" s="14" t="s">
        <v>404</v>
      </c>
      <c r="C53" s="13" t="str">
        <f>"20.9"</f>
        <v>20.9</v>
      </c>
      <c r="D53" s="32">
        <f>(C53*1.24778761061)+(0.4)</f>
        <v>26.478761061748997</v>
      </c>
      <c r="E53" s="33">
        <f>(C53*1.16814159292)+(-1)</f>
        <v>23.414159292028</v>
      </c>
      <c r="F53" s="33">
        <f>(C53*1.1238938053)+(-4.4)</f>
        <v>19.089380530770001</v>
      </c>
      <c r="G53" s="33">
        <f>(C53*1.06194690265)+(-5.9)</f>
        <v>16.294690265384993</v>
      </c>
      <c r="H53" s="34">
        <f>(C53*1.19469026548)+(0)</f>
        <v>24.969026548532</v>
      </c>
      <c r="I53" s="34">
        <f>(C53*1.16814159292)+(-2)</f>
        <v>22.414159292028</v>
      </c>
      <c r="J53" s="34">
        <f>(C53*1.1238938053)+(-3.9)</f>
        <v>19.589380530770001</v>
      </c>
      <c r="K53" s="34">
        <f>(C53*1.07964601769)+(-5.6)</f>
        <v>16.964601769721</v>
      </c>
    </row>
    <row r="54" spans="1:11" s="21" customFormat="1" ht="19.95" customHeight="1" x14ac:dyDescent="0.25">
      <c r="A54" s="13" t="str">
        <f>"15534"</f>
        <v>15534</v>
      </c>
      <c r="B54" s="14" t="s">
        <v>405</v>
      </c>
      <c r="C54" s="13" t="str">
        <f>"26.3"</f>
        <v>26.3</v>
      </c>
      <c r="D54" s="32">
        <f>(C54*1.24778761061)+(0.4)</f>
        <v>33.216814159043004</v>
      </c>
      <c r="E54" s="33">
        <f>(C54*1.16814159292)+(-1)</f>
        <v>29.722123893796002</v>
      </c>
      <c r="F54" s="33">
        <f>(C54*1.1238938053)+(-4.4)</f>
        <v>25.158407079390003</v>
      </c>
      <c r="G54" s="33">
        <f>(C54*1.06194690265)+(-5.9)</f>
        <v>22.029203539694997</v>
      </c>
      <c r="H54" s="34">
        <f>(C54*1.19469026548)+(0)</f>
        <v>31.420353982124002</v>
      </c>
      <c r="I54" s="34">
        <f>(C54*1.16814159292)+(-2)</f>
        <v>28.722123893796002</v>
      </c>
      <c r="J54" s="34">
        <f>(C54*1.1238938053)+(-3.9)</f>
        <v>25.658407079390003</v>
      </c>
      <c r="K54" s="34">
        <f>(C54*1.07964601769)+(-5.6)</f>
        <v>22.794690265246999</v>
      </c>
    </row>
    <row r="55" spans="1:11" s="21" customFormat="1" ht="19.95" customHeight="1" x14ac:dyDescent="0.25">
      <c r="A55" s="13" t="str">
        <f>"14427"</f>
        <v>14427</v>
      </c>
      <c r="B55" s="14" t="s">
        <v>406</v>
      </c>
      <c r="C55" s="13" t="str">
        <f>"20.9"</f>
        <v>20.9</v>
      </c>
      <c r="D55" s="32">
        <f>(C55*1.24778761061)+(0.4)</f>
        <v>26.478761061748997</v>
      </c>
      <c r="E55" s="33">
        <f>(C55*1.16814159292)+(-1)</f>
        <v>23.414159292028</v>
      </c>
      <c r="F55" s="33">
        <f>(C55*1.1238938053)+(-4.4)</f>
        <v>19.089380530770001</v>
      </c>
      <c r="G55" s="33">
        <f>(C55*1.06194690265)+(-5.9)</f>
        <v>16.294690265384993</v>
      </c>
      <c r="H55" s="34">
        <f>(C55*1.19469026548)+(0)</f>
        <v>24.969026548532</v>
      </c>
      <c r="I55" s="34">
        <f>(C55*1.16814159292)+(-2)</f>
        <v>22.414159292028</v>
      </c>
      <c r="J55" s="34">
        <f>(C55*1.1238938053)+(-3.9)</f>
        <v>19.589380530770001</v>
      </c>
      <c r="K55" s="34">
        <f>(C55*1.07964601769)+(-5.6)</f>
        <v>16.964601769721</v>
      </c>
    </row>
    <row r="56" spans="1:11" s="21" customFormat="1" ht="19.95" customHeight="1" x14ac:dyDescent="0.25">
      <c r="A56" s="13" t="str">
        <f>"1011249"</f>
        <v>1011249</v>
      </c>
      <c r="B56" s="14" t="s">
        <v>407</v>
      </c>
      <c r="C56" s="13" t="str">
        <f>"23.8"</f>
        <v>23.8</v>
      </c>
      <c r="D56" s="32">
        <f>(C56*1.24778761061)+(0.4)</f>
        <v>30.097345132518001</v>
      </c>
      <c r="E56" s="33">
        <f>(C56*1.16814159292)+(-1)</f>
        <v>26.801769911496002</v>
      </c>
      <c r="F56" s="33">
        <f>(C56*1.1238938053)+(-4.4)</f>
        <v>22.348672566140003</v>
      </c>
      <c r="G56" s="33">
        <f>(C56*1.06194690265)+(-5.9)</f>
        <v>19.374336283070001</v>
      </c>
      <c r="H56" s="34">
        <f>(C56*1.19469026548)+(0)</f>
        <v>28.433628318424002</v>
      </c>
      <c r="I56" s="34">
        <f>(C56*1.16814159292)+(-2)</f>
        <v>25.801769911496002</v>
      </c>
      <c r="J56" s="34">
        <f>(C56*1.1238938053)+(-3.9)</f>
        <v>22.848672566140003</v>
      </c>
      <c r="K56" s="34">
        <f>(C56*1.07964601769)+(-5.6)</f>
        <v>20.095575221022003</v>
      </c>
    </row>
    <row r="57" spans="1:11" s="21" customFormat="1" ht="19.95" customHeight="1" x14ac:dyDescent="0.25">
      <c r="A57" s="13" t="str">
        <f>"1008755"</f>
        <v>1008755</v>
      </c>
      <c r="B57" s="14" t="s">
        <v>408</v>
      </c>
      <c r="C57" s="13" t="str">
        <f>"20.4"</f>
        <v>20.4</v>
      </c>
      <c r="D57" s="32">
        <f>(C57*1.24778761061)+(0.4)</f>
        <v>25.854867256443999</v>
      </c>
      <c r="E57" s="33">
        <f>(C57*1.16814159292)+(-1)</f>
        <v>22.830088495567999</v>
      </c>
      <c r="F57" s="33">
        <f>(C57*1.1238938053)+(-4.4)</f>
        <v>18.527433628120001</v>
      </c>
      <c r="G57" s="33">
        <f>(C57*1.06194690265)+(-5.9)</f>
        <v>15.763716814059995</v>
      </c>
      <c r="H57" s="34">
        <f>(C57*1.19469026548)+(0)</f>
        <v>24.371681415791997</v>
      </c>
      <c r="I57" s="34">
        <f>(C57*1.16814159292)+(-2)</f>
        <v>21.830088495567999</v>
      </c>
      <c r="J57" s="34">
        <f>(C57*1.1238938053)+(-3.9)</f>
        <v>19.027433628120001</v>
      </c>
      <c r="K57" s="34">
        <f>(C57*1.07964601769)+(-5.6)</f>
        <v>16.424778760876002</v>
      </c>
    </row>
    <row r="58" spans="1:11" s="21" customFormat="1" ht="19.95" customHeight="1" x14ac:dyDescent="0.25">
      <c r="A58" s="13" t="str">
        <f>"1011248"</f>
        <v>1011248</v>
      </c>
      <c r="B58" s="14" t="s">
        <v>409</v>
      </c>
      <c r="C58" s="13" t="str">
        <f>"27.1"</f>
        <v>27.1</v>
      </c>
      <c r="D58" s="32">
        <f>(C58*1.24778761061)+(0.4)</f>
        <v>34.215044247531004</v>
      </c>
      <c r="E58" s="33">
        <f>(C58*1.16814159292)+(-1)</f>
        <v>30.656637168132004</v>
      </c>
      <c r="F58" s="33">
        <f>(C58*1.1238938053)+(-4.4)</f>
        <v>26.057522123630001</v>
      </c>
      <c r="G58" s="33">
        <f>(C58*1.06194690265)+(-5.9)</f>
        <v>22.878761061814998</v>
      </c>
      <c r="H58" s="34">
        <f>(C58*1.19469026548)+(0)</f>
        <v>32.376106194508004</v>
      </c>
      <c r="I58" s="34">
        <f>(C58*1.16814159292)+(-2)</f>
        <v>29.656637168132004</v>
      </c>
      <c r="J58" s="34">
        <f>(C58*1.1238938053)+(-3.9)</f>
        <v>26.557522123630005</v>
      </c>
      <c r="K58" s="34">
        <f>(C58*1.07964601769)+(-5.6)</f>
        <v>23.658407079399005</v>
      </c>
    </row>
    <row r="59" spans="1:11" s="21" customFormat="1" ht="19.95" customHeight="1" x14ac:dyDescent="0.25">
      <c r="A59" s="13" t="str">
        <f>"15537"</f>
        <v>15537</v>
      </c>
      <c r="B59" s="14" t="s">
        <v>410</v>
      </c>
      <c r="C59" s="13" t="str">
        <f>"20.6"</f>
        <v>20.6</v>
      </c>
      <c r="D59" s="32">
        <f>(C59*1.24778761061)+(0.4)</f>
        <v>26.104424778566003</v>
      </c>
      <c r="E59" s="33">
        <f>(C59*1.16814159292)+(-1)</f>
        <v>23.063716814152002</v>
      </c>
      <c r="F59" s="33">
        <f>(C59*1.1238938053)+(-4.4)</f>
        <v>18.752212389180002</v>
      </c>
      <c r="G59" s="33">
        <f>(C59*1.06194690265)+(-5.9)</f>
        <v>15.976106194590001</v>
      </c>
      <c r="H59" s="34">
        <f>(C59*1.19469026548)+(0)</f>
        <v>24.610619468888</v>
      </c>
      <c r="I59" s="34">
        <f>(C59*1.16814159292)+(-2)</f>
        <v>22.063716814152002</v>
      </c>
      <c r="J59" s="34">
        <f>(C59*1.1238938053)+(-3.9)</f>
        <v>19.252212389180006</v>
      </c>
      <c r="K59" s="34">
        <f>(C59*1.07964601769)+(-5.6)</f>
        <v>16.640707964414005</v>
      </c>
    </row>
    <row r="60" spans="1:11" s="21" customFormat="1" ht="19.95" customHeight="1" x14ac:dyDescent="0.25">
      <c r="A60" s="13" t="str">
        <f>"15538"</f>
        <v>15538</v>
      </c>
      <c r="B60" s="14" t="s">
        <v>411</v>
      </c>
      <c r="C60" s="13" t="str">
        <f>"25.9"</f>
        <v>25.9</v>
      </c>
      <c r="D60" s="32">
        <f>(C60*1.24778761061)+(0.4)</f>
        <v>32.717699114798997</v>
      </c>
      <c r="E60" s="33">
        <f>(C60*1.16814159292)+(-1)</f>
        <v>29.254867256628</v>
      </c>
      <c r="F60" s="33">
        <f>(C60*1.1238938053)+(-4.4)</f>
        <v>24.70884955727</v>
      </c>
      <c r="G60" s="33">
        <f>(C60*1.06194690265)+(-5.9)</f>
        <v>21.604424778634993</v>
      </c>
      <c r="H60" s="34">
        <f>(C60*1.19469026548)+(0)</f>
        <v>30.942477875931999</v>
      </c>
      <c r="I60" s="34">
        <f>(C60*1.16814159292)+(-2)</f>
        <v>28.254867256628</v>
      </c>
      <c r="J60" s="34">
        <f>(C60*1.1238938053)+(-3.9)</f>
        <v>25.20884955727</v>
      </c>
      <c r="K60" s="34">
        <f>(C60*1.07964601769)+(-5.6)</f>
        <v>22.362831858170999</v>
      </c>
    </row>
    <row r="61" spans="1:11" s="21" customFormat="1" ht="19.95" customHeight="1" x14ac:dyDescent="0.25">
      <c r="A61" s="13" t="str">
        <f>"17967"</f>
        <v>17967</v>
      </c>
      <c r="B61" s="14" t="s">
        <v>412</v>
      </c>
      <c r="C61" s="13" t="str">
        <f>"26.7"</f>
        <v>26.7</v>
      </c>
      <c r="D61" s="32">
        <f>(C61*1.24778761061)+(0.4)</f>
        <v>33.715929203286997</v>
      </c>
      <c r="E61" s="33">
        <f>(C61*1.16814159292)+(-1)</f>
        <v>30.189380530964002</v>
      </c>
      <c r="F61" s="33">
        <f>(C61*1.1238938053)+(-4.4)</f>
        <v>25.607964601509998</v>
      </c>
      <c r="G61" s="33">
        <f>(C61*1.06194690265)+(-5.9)</f>
        <v>22.453982300754994</v>
      </c>
      <c r="H61" s="34">
        <f>(C61*1.19469026548)+(0)</f>
        <v>31.898230088315998</v>
      </c>
      <c r="I61" s="34">
        <f>(C61*1.16814159292)+(-2)</f>
        <v>29.189380530964002</v>
      </c>
      <c r="J61" s="34">
        <f>(C61*1.1238938053)+(-3.9)</f>
        <v>26.107964601510002</v>
      </c>
      <c r="K61" s="34">
        <f>(C61*1.07964601769)+(-5.6)</f>
        <v>23.226548672322998</v>
      </c>
    </row>
    <row r="62" spans="1:11" s="21" customFormat="1" ht="19.95" customHeight="1" x14ac:dyDescent="0.25">
      <c r="A62" s="13" t="str">
        <f>"15542"</f>
        <v>15542</v>
      </c>
      <c r="B62" s="14" t="s">
        <v>413</v>
      </c>
      <c r="C62" s="13" t="str">
        <f>"23.9"</f>
        <v>23.9</v>
      </c>
      <c r="D62" s="32">
        <f>(C62*1.24778761061)+(0.4)</f>
        <v>30.222123893578999</v>
      </c>
      <c r="E62" s="33">
        <f>(C62*1.16814159292)+(-1)</f>
        <v>26.918584070788</v>
      </c>
      <c r="F62" s="33">
        <f>(C62*1.1238938053)+(-4.4)</f>
        <v>22.46106194667</v>
      </c>
      <c r="G62" s="33">
        <f>(C62*1.06194690265)+(-5.9)</f>
        <v>19.480530973334993</v>
      </c>
      <c r="H62" s="34">
        <f>(C62*1.19469026548)+(0)</f>
        <v>28.553097344971999</v>
      </c>
      <c r="I62" s="34">
        <f>(C62*1.16814159292)+(-2)</f>
        <v>25.918584070788</v>
      </c>
      <c r="J62" s="34">
        <f>(C62*1.1238938053)+(-3.9)</f>
        <v>22.96106194667</v>
      </c>
      <c r="K62" s="34">
        <f>(C62*1.07964601769)+(-5.6)</f>
        <v>20.203539822791001</v>
      </c>
    </row>
    <row r="63" spans="1:11" s="21" customFormat="1" ht="19.95" customHeight="1" x14ac:dyDescent="0.25">
      <c r="A63" s="13" t="str">
        <f>"38905"</f>
        <v>38905</v>
      </c>
      <c r="B63" s="14" t="s">
        <v>414</v>
      </c>
      <c r="C63" s="13" t="str">
        <f>"34.1"</f>
        <v>34.1</v>
      </c>
      <c r="D63" s="32">
        <f>(C63*1.24778761061)+(0.4)</f>
        <v>42.949557521801005</v>
      </c>
      <c r="E63" s="33">
        <f>(C63*1.16814159292)+(-1)</f>
        <v>38.833628318572003</v>
      </c>
      <c r="F63" s="33">
        <f>(C63*1.1238938053)+(-4.4)</f>
        <v>33.924778760730007</v>
      </c>
      <c r="G63" s="33">
        <f>(C63*1.06194690265)+(-5.9)</f>
        <v>30.312389380364998</v>
      </c>
      <c r="H63" s="34">
        <f>(C63*1.19469026548)+(0)</f>
        <v>40.738938052868001</v>
      </c>
      <c r="I63" s="34">
        <f>(C63*1.16814159292)+(-2)</f>
        <v>37.833628318572003</v>
      </c>
      <c r="J63" s="34">
        <f>(C63*1.1238938053)+(-3.9)</f>
        <v>34.424778760730007</v>
      </c>
      <c r="K63" s="34">
        <f>(C63*1.07964601769)+(-5.6)</f>
        <v>31.215929203229003</v>
      </c>
    </row>
    <row r="64" spans="1:11" s="21" customFormat="1" ht="19.95" customHeight="1" x14ac:dyDescent="0.25">
      <c r="A64" s="13" t="str">
        <f>"15544"</f>
        <v>15544</v>
      </c>
      <c r="B64" s="14" t="s">
        <v>415</v>
      </c>
      <c r="C64" s="13" t="str">
        <f>"26.1"</f>
        <v>26.1</v>
      </c>
      <c r="D64" s="32">
        <f>(C64*1.24778761061)+(0.4)</f>
        <v>32.967256636921</v>
      </c>
      <c r="E64" s="33">
        <f>(C64*1.16814159292)+(-1)</f>
        <v>29.488495575212003</v>
      </c>
      <c r="F64" s="33">
        <f>(C64*1.1238938053)+(-4.4)</f>
        <v>24.933628318330001</v>
      </c>
      <c r="G64" s="33">
        <f>(C64*1.06194690265)+(-5.9)</f>
        <v>21.816814159164998</v>
      </c>
      <c r="H64" s="34">
        <f>(C64*1.19469026548)+(0)</f>
        <v>31.181415929028002</v>
      </c>
      <c r="I64" s="34">
        <f>(C64*1.16814159292)+(-2)</f>
        <v>28.488495575212003</v>
      </c>
      <c r="J64" s="34">
        <f>(C64*1.1238938053)+(-3.9)</f>
        <v>25.433628318330005</v>
      </c>
      <c r="K64" s="34">
        <f>(C64*1.07964601769)+(-5.6)</f>
        <v>22.578761061709002</v>
      </c>
    </row>
    <row r="65" spans="1:11" s="21" customFormat="1" ht="19.95" customHeight="1" x14ac:dyDescent="0.25">
      <c r="A65" s="13" t="str">
        <f>"15545"</f>
        <v>15545</v>
      </c>
      <c r="B65" s="14" t="s">
        <v>416</v>
      </c>
      <c r="C65" s="13" t="str">
        <f>"27.9"</f>
        <v>27.9</v>
      </c>
      <c r="D65" s="32">
        <f>(C65*1.24778761061)+(0.4)</f>
        <v>35.213274336018998</v>
      </c>
      <c r="E65" s="33">
        <f>(C65*1.16814159292)+(-1)</f>
        <v>31.591150442467999</v>
      </c>
      <c r="F65" s="33">
        <f>(C65*1.1238938053)+(-4.4)</f>
        <v>26.956637167869999</v>
      </c>
      <c r="G65" s="33">
        <f>(C65*1.06194690265)+(-5.9)</f>
        <v>23.728318583934993</v>
      </c>
      <c r="H65" s="34">
        <f>(C65*1.19469026548)+(0)</f>
        <v>33.331858406891996</v>
      </c>
      <c r="I65" s="34">
        <f>(C65*1.16814159292)+(-2)</f>
        <v>30.591150442467999</v>
      </c>
      <c r="J65" s="34">
        <f>(C65*1.1238938053)+(-3.9)</f>
        <v>27.456637167869999</v>
      </c>
      <c r="K65" s="34">
        <f>(C65*1.07964601769)+(-5.6)</f>
        <v>24.522123893550997</v>
      </c>
    </row>
    <row r="66" spans="1:11" s="21" customFormat="1" ht="19.95" customHeight="1" x14ac:dyDescent="0.25">
      <c r="A66" s="13" t="str">
        <f>"36157"</f>
        <v>36157</v>
      </c>
      <c r="B66" s="14" t="s">
        <v>417</v>
      </c>
      <c r="C66" s="13" t="str">
        <f>"19.1"</f>
        <v>19.1</v>
      </c>
      <c r="D66" s="32">
        <f>(C66*1.24778761061)+(0.4)</f>
        <v>24.232743362651004</v>
      </c>
      <c r="E66" s="33">
        <f>(C66*1.16814159292)+(-1)</f>
        <v>21.311504424772004</v>
      </c>
      <c r="F66" s="33">
        <f>(C66*1.1238938053)+(-4.4)</f>
        <v>17.066371681230002</v>
      </c>
      <c r="G66" s="33">
        <f>(C66*1.06194690265)+(-5.9)</f>
        <v>14.383185840615001</v>
      </c>
      <c r="H66" s="34">
        <f>(C66*1.19469026548)+(0)</f>
        <v>22.818584070668003</v>
      </c>
      <c r="I66" s="34">
        <f>(C66*1.16814159292)+(-2)</f>
        <v>20.311504424772004</v>
      </c>
      <c r="J66" s="34">
        <f>(C66*1.1238938053)+(-3.9)</f>
        <v>17.566371681230002</v>
      </c>
      <c r="K66" s="34">
        <f>(C66*1.07964601769)+(-5.6)</f>
        <v>15.021238937879003</v>
      </c>
    </row>
    <row r="67" spans="1:11" s="21" customFormat="1" ht="19.95" customHeight="1" x14ac:dyDescent="0.25">
      <c r="A67" s="13" t="str">
        <f>"15547"</f>
        <v>15547</v>
      </c>
      <c r="B67" s="14" t="s">
        <v>418</v>
      </c>
      <c r="C67" s="13" t="str">
        <f>"24.4"</f>
        <v>24.4</v>
      </c>
      <c r="D67" s="32">
        <f>(C67*1.24778761061)+(0.4)</f>
        <v>30.846017698883998</v>
      </c>
      <c r="E67" s="33">
        <f>(C67*1.16814159292)+(-1)</f>
        <v>27.502654867248001</v>
      </c>
      <c r="F67" s="33">
        <f>(C67*1.1238938053)+(-4.4)</f>
        <v>23.02300884932</v>
      </c>
      <c r="G67" s="33">
        <f>(C67*1.06194690265)+(-5.9)</f>
        <v>20.011504424659996</v>
      </c>
      <c r="H67" s="34">
        <f>(C67*1.19469026548)+(0)</f>
        <v>29.150442477711998</v>
      </c>
      <c r="I67" s="34">
        <f>(C67*1.16814159292)+(-2)</f>
        <v>26.502654867248001</v>
      </c>
      <c r="J67" s="34">
        <f>(C67*1.1238938053)+(-3.9)</f>
        <v>23.52300884932</v>
      </c>
      <c r="K67" s="34">
        <f>(C67*1.07964601769)+(-5.6)</f>
        <v>20.743362831635999</v>
      </c>
    </row>
    <row r="68" spans="1:11" s="21" customFormat="1" ht="19.95" customHeight="1" x14ac:dyDescent="0.25">
      <c r="A68" s="13" t="str">
        <f>"15548"</f>
        <v>15548</v>
      </c>
      <c r="B68" s="14" t="s">
        <v>419</v>
      </c>
      <c r="C68" s="13" t="str">
        <f>"22.5"</f>
        <v>22.5</v>
      </c>
      <c r="D68" s="32">
        <f>(C68*1.24778761061)+(0.4)</f>
        <v>28.475221238725002</v>
      </c>
      <c r="E68" s="33">
        <f>(C68*1.16814159292)+(-1)</f>
        <v>25.283185840700003</v>
      </c>
      <c r="F68" s="33">
        <f>(C68*1.1238938053)+(-4.4)</f>
        <v>20.887610619249998</v>
      </c>
      <c r="G68" s="33">
        <f>(C68*1.06194690265)+(-5.9)</f>
        <v>17.993805309624996</v>
      </c>
      <c r="H68" s="34">
        <f>(C68*1.19469026548)+(0)</f>
        <v>26.880530973300001</v>
      </c>
      <c r="I68" s="34">
        <f>(C68*1.16814159292)+(-2)</f>
        <v>24.283185840700003</v>
      </c>
      <c r="J68" s="34">
        <f>(C68*1.1238938053)+(-3.9)</f>
        <v>21.387610619250001</v>
      </c>
      <c r="K68" s="34">
        <f>(C68*1.07964601769)+(-5.6)</f>
        <v>18.692035398024998</v>
      </c>
    </row>
    <row r="69" spans="1:11" s="21" customFormat="1" ht="19.95" customHeight="1" x14ac:dyDescent="0.25">
      <c r="A69" s="13" t="str">
        <f>"1007653"</f>
        <v>1007653</v>
      </c>
      <c r="B69" s="14" t="s">
        <v>420</v>
      </c>
      <c r="C69" s="13" t="str">
        <f>"22.8"</f>
        <v>22.8</v>
      </c>
      <c r="D69" s="32">
        <f>(C69*1.24778761061)+(0.4)</f>
        <v>28.849557521908</v>
      </c>
      <c r="E69" s="33">
        <f>(C69*1.16814159292)+(-1)</f>
        <v>25.633628318576001</v>
      </c>
      <c r="F69" s="33">
        <f>(C69*1.1238938053)+(-4.4)</f>
        <v>21.224778760840003</v>
      </c>
      <c r="G69" s="33">
        <f>(C69*1.06194690265)+(-5.9)</f>
        <v>18.312389380420001</v>
      </c>
      <c r="H69" s="34">
        <f>(C69*1.19469026548)+(0)</f>
        <v>27.238938052944</v>
      </c>
      <c r="I69" s="34">
        <f>(C69*1.16814159292)+(-2)</f>
        <v>24.633628318576001</v>
      </c>
      <c r="J69" s="34">
        <f>(C69*1.1238938053)+(-3.9)</f>
        <v>21.724778760840003</v>
      </c>
      <c r="K69" s="34">
        <f>(C69*1.07964601769)+(-5.6)</f>
        <v>19.015929203332</v>
      </c>
    </row>
    <row r="70" spans="1:11" s="21" customFormat="1" ht="19.95" customHeight="1" x14ac:dyDescent="0.25">
      <c r="A70" s="13" t="str">
        <f>"1011666"</f>
        <v>1011666</v>
      </c>
      <c r="B70" s="14" t="s">
        <v>421</v>
      </c>
      <c r="C70" s="13" t="str">
        <f>"22.5"</f>
        <v>22.5</v>
      </c>
      <c r="D70" s="32">
        <f>(C70*1.24778761061)+(0.4)</f>
        <v>28.475221238725002</v>
      </c>
      <c r="E70" s="33">
        <f>(C70*1.16814159292)+(-1)</f>
        <v>25.283185840700003</v>
      </c>
      <c r="F70" s="33">
        <f>(C70*1.1238938053)+(-4.4)</f>
        <v>20.887610619249998</v>
      </c>
      <c r="G70" s="33">
        <f>(C70*1.06194690265)+(-5.9)</f>
        <v>17.993805309624996</v>
      </c>
      <c r="H70" s="34">
        <f>(C70*1.19469026548)+(0)</f>
        <v>26.880530973300001</v>
      </c>
      <c r="I70" s="34">
        <f>(C70*1.16814159292)+(-2)</f>
        <v>24.283185840700003</v>
      </c>
      <c r="J70" s="34">
        <f>(C70*1.1238938053)+(-3.9)</f>
        <v>21.387610619250001</v>
      </c>
      <c r="K70" s="34">
        <f>(C70*1.07964601769)+(-5.6)</f>
        <v>18.692035398024998</v>
      </c>
    </row>
    <row r="71" spans="1:11" s="21" customFormat="1" ht="19.95" customHeight="1" x14ac:dyDescent="0.25">
      <c r="A71" s="13" t="str">
        <f>"15550"</f>
        <v>15550</v>
      </c>
      <c r="B71" s="14" t="s">
        <v>422</v>
      </c>
      <c r="C71" s="13" t="str">
        <f>"18.8"</f>
        <v>18.8</v>
      </c>
      <c r="D71" s="32">
        <f>(C71*1.24778761061)+(0.4)</f>
        <v>23.858407079468002</v>
      </c>
      <c r="E71" s="33">
        <f>(C71*1.16814159292)+(-1)</f>
        <v>20.961061946896002</v>
      </c>
      <c r="F71" s="33">
        <f>(C71*1.1238938053)+(-4.4)</f>
        <v>16.729203539640004</v>
      </c>
      <c r="G71" s="33">
        <f>(C71*1.06194690265)+(-5.9)</f>
        <v>14.064601769819999</v>
      </c>
      <c r="H71" s="34">
        <f>(C71*1.19469026548)+(0)</f>
        <v>22.460176991023999</v>
      </c>
      <c r="I71" s="34">
        <f>(C71*1.16814159292)+(-2)</f>
        <v>19.961061946896002</v>
      </c>
      <c r="J71" s="34">
        <f>(C71*1.1238938053)+(-3.9)</f>
        <v>17.229203539640004</v>
      </c>
      <c r="K71" s="34">
        <f>(C71*1.07964601769)+(-5.6)</f>
        <v>14.697345132572002</v>
      </c>
    </row>
    <row r="72" spans="1:11" s="21" customFormat="1" ht="19.95" customHeight="1" x14ac:dyDescent="0.25">
      <c r="A72" s="13" t="str">
        <f>"1009568"</f>
        <v>1009568</v>
      </c>
      <c r="B72" s="14" t="s">
        <v>423</v>
      </c>
      <c r="C72" s="13" t="str">
        <f>"27.5"</f>
        <v>27.5</v>
      </c>
      <c r="D72" s="32">
        <f>(C72*1.24778761061)+(0.4)</f>
        <v>34.714159291775005</v>
      </c>
      <c r="E72" s="33">
        <f>(C72*1.16814159292)+(-1)</f>
        <v>31.1238938053</v>
      </c>
      <c r="F72" s="33">
        <f>(C72*1.1238938053)+(-4.4)</f>
        <v>26.507079645750004</v>
      </c>
      <c r="G72" s="33">
        <f>(C72*1.06194690265)+(-5.9)</f>
        <v>23.303539822874995</v>
      </c>
      <c r="H72" s="34">
        <f>(C72*1.19469026548)+(0)</f>
        <v>32.853982300700004</v>
      </c>
      <c r="I72" s="34">
        <f>(C72*1.16814159292)+(-2)</f>
        <v>30.1238938053</v>
      </c>
      <c r="J72" s="34">
        <f>(C72*1.1238938053)+(-3.9)</f>
        <v>27.007079645750004</v>
      </c>
      <c r="K72" s="34">
        <f>(C72*1.07964601769)+(-5.6)</f>
        <v>24.090265486474998</v>
      </c>
    </row>
    <row r="73" spans="1:11" s="21" customFormat="1" ht="19.95" customHeight="1" x14ac:dyDescent="0.25">
      <c r="A73" s="13" t="str">
        <f>"15551"</f>
        <v>15551</v>
      </c>
      <c r="B73" s="14" t="s">
        <v>424</v>
      </c>
      <c r="C73" s="13" t="str">
        <f>"21.6"</f>
        <v>21.6</v>
      </c>
      <c r="D73" s="32">
        <f>(C73*1.24778761061)+(0.4)</f>
        <v>27.352212389176003</v>
      </c>
      <c r="E73" s="33">
        <f>(C73*1.16814159292)+(-1)</f>
        <v>24.231858407072004</v>
      </c>
      <c r="F73" s="33">
        <f>(C73*1.1238938053)+(-4.4)</f>
        <v>19.876106194480002</v>
      </c>
      <c r="G73" s="33">
        <f>(C73*1.06194690265)+(-5.9)</f>
        <v>17.038053097240002</v>
      </c>
      <c r="H73" s="34">
        <f>(C73*1.19469026548)+(0)</f>
        <v>25.805309734368002</v>
      </c>
      <c r="I73" s="34">
        <f>(C73*1.16814159292)+(-2)</f>
        <v>23.231858407072004</v>
      </c>
      <c r="J73" s="34">
        <f>(C73*1.1238938053)+(-3.9)</f>
        <v>20.376106194480005</v>
      </c>
      <c r="K73" s="34">
        <f>(C73*1.07964601769)+(-5.6)</f>
        <v>17.720353982104001</v>
      </c>
    </row>
    <row r="74" spans="1:11" s="21" customFormat="1" ht="19.95" customHeight="1" x14ac:dyDescent="0.25">
      <c r="A74" s="13" t="str">
        <f>"15553"</f>
        <v>15553</v>
      </c>
      <c r="B74" s="14" t="s">
        <v>425</v>
      </c>
      <c r="C74" s="13" t="str">
        <f>"20.8"</f>
        <v>20.8</v>
      </c>
      <c r="D74" s="32">
        <f>(C74*1.24778761061)+(0.4)</f>
        <v>26.353982300688003</v>
      </c>
      <c r="E74" s="33">
        <f>(C74*1.16814159292)+(-1)</f>
        <v>23.297345132736002</v>
      </c>
      <c r="F74" s="33">
        <f>(C74*1.1238938053)+(-4.4)</f>
        <v>18.976991150240003</v>
      </c>
      <c r="G74" s="33">
        <f>(C74*1.06194690265)+(-5.9)</f>
        <v>16.188495575120001</v>
      </c>
      <c r="H74" s="34">
        <f>(C74*1.19469026548)+(0)</f>
        <v>24.849557521984</v>
      </c>
      <c r="I74" s="34">
        <f>(C74*1.16814159292)+(-2)</f>
        <v>22.297345132736002</v>
      </c>
      <c r="J74" s="34">
        <f>(C74*1.1238938053)+(-3.9)</f>
        <v>19.476991150240003</v>
      </c>
      <c r="K74" s="34">
        <f>(C74*1.07964601769)+(-5.6)</f>
        <v>16.856637167952002</v>
      </c>
    </row>
    <row r="75" spans="1:11" s="21" customFormat="1" ht="19.95" customHeight="1" x14ac:dyDescent="0.25">
      <c r="A75" s="13" t="str">
        <f>"1011648"</f>
        <v>1011648</v>
      </c>
      <c r="B75" s="14" t="s">
        <v>426</v>
      </c>
      <c r="C75" s="13" t="str">
        <f>"24.6"</f>
        <v>24.6</v>
      </c>
      <c r="D75" s="32">
        <f>(C75*1.24778761061)+(0.4)</f>
        <v>31.095575221006001</v>
      </c>
      <c r="E75" s="33">
        <f>(C75*1.16814159292)+(-1)</f>
        <v>27.736283185832004</v>
      </c>
      <c r="F75" s="33">
        <f>(C75*1.1238938053)+(-4.4)</f>
        <v>23.247787610380001</v>
      </c>
      <c r="G75" s="33">
        <f>(C75*1.06194690265)+(-5.9)</f>
        <v>20.223893805190002</v>
      </c>
      <c r="H75" s="34">
        <f>(C75*1.19469026548)+(0)</f>
        <v>29.389380530808001</v>
      </c>
      <c r="I75" s="34">
        <f>(C75*1.16814159292)+(-2)</f>
        <v>26.736283185832004</v>
      </c>
      <c r="J75" s="34">
        <f>(C75*1.1238938053)+(-3.9)</f>
        <v>23.747787610380005</v>
      </c>
      <c r="K75" s="34">
        <f>(C75*1.07964601769)+(-5.6)</f>
        <v>20.959292035174002</v>
      </c>
    </row>
    <row r="76" spans="1:11" s="21" customFormat="1" ht="19.95" customHeight="1" x14ac:dyDescent="0.25">
      <c r="A76" s="13" t="str">
        <f>"15556"</f>
        <v>15556</v>
      </c>
      <c r="B76" s="14" t="s">
        <v>427</v>
      </c>
      <c r="C76" s="13" t="str">
        <f>"32.3"</f>
        <v>32.3</v>
      </c>
      <c r="D76" s="32">
        <f>(C76*1.24778761061)+(0.4)</f>
        <v>40.703539822703</v>
      </c>
      <c r="E76" s="33">
        <f>(C76*1.16814159292)+(-1)</f>
        <v>36.730973451315997</v>
      </c>
      <c r="F76" s="33">
        <f>(C76*1.1238938053)+(-4.4)</f>
        <v>31.901769911190001</v>
      </c>
      <c r="G76" s="33">
        <f>(C76*1.06194690265)+(-5.9)</f>
        <v>28.400884955594996</v>
      </c>
      <c r="H76" s="34">
        <f>(C76*1.19469026548)+(0)</f>
        <v>38.588495575003996</v>
      </c>
      <c r="I76" s="34">
        <f>(C76*1.16814159292)+(-2)</f>
        <v>35.730973451315997</v>
      </c>
      <c r="J76" s="34">
        <f>(C76*1.1238938053)+(-3.9)</f>
        <v>32.401769911190001</v>
      </c>
      <c r="K76" s="34">
        <f>(C76*1.07964601769)+(-5.6)</f>
        <v>29.272566371386993</v>
      </c>
    </row>
    <row r="77" spans="1:11" s="21" customFormat="1" ht="19.95" customHeight="1" x14ac:dyDescent="0.25">
      <c r="A77" s="13" t="str">
        <f>"7978"</f>
        <v>7978</v>
      </c>
      <c r="B77" s="14" t="s">
        <v>428</v>
      </c>
      <c r="C77" s="13" t="str">
        <f>"5.7"</f>
        <v>5.7</v>
      </c>
      <c r="D77" s="32">
        <f>(C77*1.24778761061)+(0.4)</f>
        <v>7.5123893804770008</v>
      </c>
      <c r="E77" s="33">
        <f>(C77*1.16814159292)+(-1)</f>
        <v>5.6584070796440002</v>
      </c>
      <c r="F77" s="33">
        <f>(C77*1.1238938053)+(-4.4)</f>
        <v>2.0061946902100001</v>
      </c>
      <c r="G77" s="33">
        <f>(C77*1.06194690265)+(-5.9)</f>
        <v>0.1530973451049995</v>
      </c>
      <c r="H77" s="34">
        <f>(C77*1.19469026548)+(0)</f>
        <v>6.8097345132360001</v>
      </c>
      <c r="I77" s="34">
        <f>(C77*1.16814159292)+(-2)</f>
        <v>4.6584070796440002</v>
      </c>
      <c r="J77" s="34">
        <f>(C77*1.1238938053)+(-3.9)</f>
        <v>2.5061946902100005</v>
      </c>
      <c r="K77" s="34">
        <f>(C77*1.07964601769)+(-5.6)</f>
        <v>0.55398230083300071</v>
      </c>
    </row>
    <row r="78" spans="1:11" s="21" customFormat="1" ht="19.95" customHeight="1" x14ac:dyDescent="0.25">
      <c r="A78" s="13" t="str">
        <f>"1013319"</f>
        <v>1013319</v>
      </c>
      <c r="B78" s="14" t="s">
        <v>429</v>
      </c>
      <c r="C78" s="13" t="str">
        <f>"19.3"</f>
        <v>19.3</v>
      </c>
      <c r="D78" s="32">
        <f>(C78*1.24778761061)+(0.4)</f>
        <v>24.482300884773</v>
      </c>
      <c r="E78" s="33">
        <f>(C78*1.16814159292)+(-1)</f>
        <v>21.545132743356003</v>
      </c>
      <c r="F78" s="33">
        <f>(C78*1.1238938053)+(-4.4)</f>
        <v>17.291150442290004</v>
      </c>
      <c r="G78" s="33">
        <f>(C78*1.06194690265)+(-5.9)</f>
        <v>14.595575221144999</v>
      </c>
      <c r="H78" s="34">
        <f>(C78*1.19469026548)+(0)</f>
        <v>23.057522123764002</v>
      </c>
      <c r="I78" s="34">
        <f>(C78*1.16814159292)+(-2)</f>
        <v>20.545132743356003</v>
      </c>
      <c r="J78" s="34">
        <f>(C78*1.1238938053)+(-3.9)</f>
        <v>17.791150442290004</v>
      </c>
      <c r="K78" s="34">
        <f>(C78*1.07964601769)+(-5.6)</f>
        <v>15.237168141417003</v>
      </c>
    </row>
    <row r="79" spans="1:11" s="21" customFormat="1" ht="19.95" customHeight="1" x14ac:dyDescent="0.25">
      <c r="A79" s="13" t="str">
        <f>"15558"</f>
        <v>15558</v>
      </c>
      <c r="B79" s="14" t="s">
        <v>430</v>
      </c>
      <c r="C79" s="13" t="str">
        <f>"24.5"</f>
        <v>24.5</v>
      </c>
      <c r="D79" s="32">
        <f>(C79*1.24778761061)+(0.4)</f>
        <v>30.970796459944999</v>
      </c>
      <c r="E79" s="33">
        <f>(C79*1.16814159292)+(-1)</f>
        <v>27.619469026540003</v>
      </c>
      <c r="F79" s="33">
        <f>(C79*1.1238938053)+(-4.4)</f>
        <v>23.135398229850004</v>
      </c>
      <c r="G79" s="33">
        <f>(C79*1.06194690265)+(-5.9)</f>
        <v>20.117699114924996</v>
      </c>
      <c r="H79" s="34">
        <f>(C79*1.19469026548)+(0)</f>
        <v>29.269911504260001</v>
      </c>
      <c r="I79" s="34">
        <f>(C79*1.16814159292)+(-2)</f>
        <v>26.619469026540003</v>
      </c>
      <c r="J79" s="34">
        <f>(C79*1.1238938053)+(-3.9)</f>
        <v>23.635398229850004</v>
      </c>
      <c r="K79" s="34">
        <f>(C79*1.07964601769)+(-5.6)</f>
        <v>20.851327433405004</v>
      </c>
    </row>
    <row r="80" spans="1:11" s="21" customFormat="1" ht="19.95" customHeight="1" x14ac:dyDescent="0.25">
      <c r="A80" s="13" t="str">
        <f>"1013318"</f>
        <v>1013318</v>
      </c>
      <c r="B80" s="14" t="s">
        <v>431</v>
      </c>
      <c r="C80" s="13" t="str">
        <f>"34.5"</f>
        <v>34.5</v>
      </c>
      <c r="D80" s="32">
        <f>(C80*1.24778761061)+(0.4)</f>
        <v>43.448672566045005</v>
      </c>
      <c r="E80" s="33">
        <f>(C80*1.16814159292)+(-1)</f>
        <v>39.300884955740003</v>
      </c>
      <c r="F80" s="33">
        <f>(C80*1.1238938053)+(-4.4)</f>
        <v>34.374336282850003</v>
      </c>
      <c r="G80" s="33">
        <f>(C80*1.06194690265)+(-5.9)</f>
        <v>30.737168141424995</v>
      </c>
      <c r="H80" s="34">
        <f>(C80*1.19469026548)+(0)</f>
        <v>41.21681415906</v>
      </c>
      <c r="I80" s="34">
        <f>(C80*1.16814159292)+(-2)</f>
        <v>38.300884955740003</v>
      </c>
      <c r="J80" s="34">
        <f>(C80*1.1238938053)+(-3.9)</f>
        <v>34.874336282850003</v>
      </c>
      <c r="K80" s="34">
        <f>(C80*1.07964601769)+(-5.6)</f>
        <v>31.647787610305002</v>
      </c>
    </row>
    <row r="81" spans="1:11" s="21" customFormat="1" ht="19.95" customHeight="1" x14ac:dyDescent="0.25">
      <c r="A81" s="13" t="str">
        <f>"51007"</f>
        <v>51007</v>
      </c>
      <c r="B81" s="14" t="s">
        <v>432</v>
      </c>
      <c r="C81" s="13" t="str">
        <f>"18.6"</f>
        <v>18.6</v>
      </c>
      <c r="D81" s="32">
        <f>(C81*1.24778761061)+(0.4)</f>
        <v>23.608849557346002</v>
      </c>
      <c r="E81" s="33">
        <f>(C81*1.16814159292)+(-1)</f>
        <v>20.727433628312003</v>
      </c>
      <c r="F81" s="33">
        <f>(C81*1.1238938053)+(-4.4)</f>
        <v>16.504424778580002</v>
      </c>
      <c r="G81" s="33">
        <f>(C81*1.06194690265)+(-5.9)</f>
        <v>13.852212389290001</v>
      </c>
      <c r="H81" s="34">
        <f>(C81*1.19469026548)+(0)</f>
        <v>22.221238937928003</v>
      </c>
      <c r="I81" s="34">
        <f>(C81*1.16814159292)+(-2)</f>
        <v>19.727433628312003</v>
      </c>
      <c r="J81" s="34">
        <f>(C81*1.1238938053)+(-3.9)</f>
        <v>17.004424778580002</v>
      </c>
      <c r="K81" s="34">
        <f>(C81*1.07964601769)+(-5.6)</f>
        <v>14.481415929034002</v>
      </c>
    </row>
    <row r="82" spans="1:11" s="21" customFormat="1" ht="19.95" customHeight="1" x14ac:dyDescent="0.25">
      <c r="A82" s="13" t="str">
        <f>"15560"</f>
        <v>15560</v>
      </c>
      <c r="B82" s="14" t="s">
        <v>433</v>
      </c>
      <c r="C82" s="13" t="str">
        <f>"23.9"</f>
        <v>23.9</v>
      </c>
      <c r="D82" s="32">
        <f>(C82*1.24778761061)+(0.4)</f>
        <v>30.222123893578999</v>
      </c>
      <c r="E82" s="33">
        <f>(C82*1.16814159292)+(-1)</f>
        <v>26.918584070788</v>
      </c>
      <c r="F82" s="33">
        <f>(C82*1.1238938053)+(-4.4)</f>
        <v>22.46106194667</v>
      </c>
      <c r="G82" s="33">
        <f>(C82*1.06194690265)+(-5.9)</f>
        <v>19.480530973334993</v>
      </c>
      <c r="H82" s="34">
        <f>(C82*1.19469026548)+(0)</f>
        <v>28.553097344971999</v>
      </c>
      <c r="I82" s="34">
        <f>(C82*1.16814159292)+(-2)</f>
        <v>25.918584070788</v>
      </c>
      <c r="J82" s="34">
        <f>(C82*1.1238938053)+(-3.9)</f>
        <v>22.96106194667</v>
      </c>
      <c r="K82" s="34">
        <f>(C82*1.07964601769)+(-5.6)</f>
        <v>20.203539822791001</v>
      </c>
    </row>
    <row r="83" spans="1:11" s="21" customFormat="1" ht="19.95" customHeight="1" x14ac:dyDescent="0.25">
      <c r="A83" s="13" t="str">
        <f>"15562"</f>
        <v>15562</v>
      </c>
      <c r="B83" s="14" t="s">
        <v>434</v>
      </c>
      <c r="C83" s="13" t="str">
        <f>"20.2"</f>
        <v>20.2</v>
      </c>
      <c r="D83" s="32">
        <f>(C83*1.24778761061)+(0.4)</f>
        <v>25.605309734321999</v>
      </c>
      <c r="E83" s="33">
        <f>(C83*1.16814159292)+(-1)</f>
        <v>22.596460176983999</v>
      </c>
      <c r="F83" s="33">
        <f>(C83*1.1238938053)+(-4.4)</f>
        <v>18.302654867059999</v>
      </c>
      <c r="G83" s="33">
        <f>(C83*1.06194690265)+(-5.9)</f>
        <v>15.551327433529996</v>
      </c>
      <c r="H83" s="34">
        <f>(C83*1.19469026548)+(0)</f>
        <v>24.132743362696001</v>
      </c>
      <c r="I83" s="34">
        <f>(C83*1.16814159292)+(-2)</f>
        <v>21.596460176983999</v>
      </c>
      <c r="J83" s="34">
        <f>(C83*1.1238938053)+(-3.9)</f>
        <v>18.802654867060003</v>
      </c>
      <c r="K83" s="34">
        <f>(C83*1.07964601769)+(-5.6)</f>
        <v>16.208849557337999</v>
      </c>
    </row>
    <row r="84" spans="1:11" s="21" customFormat="1" ht="19.95" customHeight="1" x14ac:dyDescent="0.25">
      <c r="A84" s="13" t="str">
        <f>"40318"</f>
        <v>40318</v>
      </c>
      <c r="B84" s="14" t="s">
        <v>435</v>
      </c>
      <c r="C84" s="13" t="str">
        <f>"22.9"</f>
        <v>22.9</v>
      </c>
      <c r="D84" s="32">
        <f>(C84*1.24778761061)+(0.4)</f>
        <v>28.974336282968999</v>
      </c>
      <c r="E84" s="33">
        <f>(C84*1.16814159292)+(-1)</f>
        <v>25.750442477867999</v>
      </c>
      <c r="F84" s="33">
        <f>(C84*1.1238938053)+(-4.4)</f>
        <v>21.33716814137</v>
      </c>
      <c r="G84" s="33">
        <f>(C84*1.06194690265)+(-5.9)</f>
        <v>18.418584070684993</v>
      </c>
      <c r="H84" s="34">
        <f>(C84*1.19469026548)+(0)</f>
        <v>27.358407079492</v>
      </c>
      <c r="I84" s="34">
        <f>(C84*1.16814159292)+(-2)</f>
        <v>24.750442477867999</v>
      </c>
      <c r="J84" s="34">
        <f>(C84*1.1238938053)+(-3.9)</f>
        <v>21.83716814137</v>
      </c>
      <c r="K84" s="34">
        <f>(C84*1.07964601769)+(-5.6)</f>
        <v>19.123893805100998</v>
      </c>
    </row>
    <row r="85" spans="1:11" s="21" customFormat="1" ht="19.95" customHeight="1" x14ac:dyDescent="0.25">
      <c r="A85" s="13" t="str">
        <f>"15564"</f>
        <v>15564</v>
      </c>
      <c r="B85" s="14" t="s">
        <v>436</v>
      </c>
      <c r="C85" s="13" t="str">
        <f>"14.5"</f>
        <v>14.5</v>
      </c>
      <c r="D85" s="32">
        <f>(C85*1.24778761061)+(0.4)</f>
        <v>18.492920353845001</v>
      </c>
      <c r="E85" s="33">
        <f>(C85*1.16814159292)+(-1)</f>
        <v>15.938053097340003</v>
      </c>
      <c r="F85" s="33">
        <f>(C85*1.1238938053)+(-4.4)</f>
        <v>11.896460176850001</v>
      </c>
      <c r="G85" s="33">
        <f>(C85*1.06194690265)+(-5.9)</f>
        <v>9.4982300884249984</v>
      </c>
      <c r="H85" s="34">
        <f>(C85*1.19469026548)+(0)</f>
        <v>17.323008849459999</v>
      </c>
      <c r="I85" s="34">
        <f>(C85*1.16814159292)+(-2)</f>
        <v>14.938053097340003</v>
      </c>
      <c r="J85" s="34">
        <f>(C85*1.1238938053)+(-3.9)</f>
        <v>12.396460176850001</v>
      </c>
      <c r="K85" s="34">
        <f>(C85*1.07964601769)+(-5.6)</f>
        <v>10.054867256505</v>
      </c>
    </row>
    <row r="86" spans="1:11" s="21" customFormat="1" ht="19.95" customHeight="1" x14ac:dyDescent="0.25">
      <c r="A86" s="13" t="str">
        <f>"1000920"</f>
        <v>1000920</v>
      </c>
      <c r="B86" s="14" t="s">
        <v>437</v>
      </c>
      <c r="C86" s="13" t="str">
        <f>"25.1"</f>
        <v>25.1</v>
      </c>
      <c r="D86" s="32">
        <f>(C86*1.24778761061)+(0.4)</f>
        <v>31.719469026311003</v>
      </c>
      <c r="E86" s="33">
        <f>(C86*1.16814159292)+(-1)</f>
        <v>28.320353982292005</v>
      </c>
      <c r="F86" s="33">
        <f>(C86*1.1238938053)+(-4.4)</f>
        <v>23.809734513030001</v>
      </c>
      <c r="G86" s="33">
        <f>(C86*1.06194690265)+(-5.9)</f>
        <v>20.754867256514999</v>
      </c>
      <c r="H86" s="34">
        <f>(C86*1.19469026548)+(0)</f>
        <v>29.986725663548</v>
      </c>
      <c r="I86" s="34">
        <f>(C86*1.16814159292)+(-2)</f>
        <v>27.320353982292005</v>
      </c>
      <c r="J86" s="34">
        <f>(C86*1.1238938053)+(-3.9)</f>
        <v>24.309734513030005</v>
      </c>
      <c r="K86" s="34">
        <f>(C86*1.07964601769)+(-5.6)</f>
        <v>21.499115044019</v>
      </c>
    </row>
    <row r="87" spans="1:11" s="21" customFormat="1" ht="19.95" customHeight="1" x14ac:dyDescent="0.25">
      <c r="A87" s="13" t="str">
        <f>"15569"</f>
        <v>15569</v>
      </c>
      <c r="B87" s="14" t="s">
        <v>438</v>
      </c>
      <c r="C87" s="13" t="str">
        <f>"18.1"</f>
        <v>18.1</v>
      </c>
      <c r="D87" s="32">
        <f>(C87*1.24778761061)+(0.4)</f>
        <v>22.984955752041003</v>
      </c>
      <c r="E87" s="33">
        <f>(C87*1.16814159292)+(-1)</f>
        <v>20.143362831852002</v>
      </c>
      <c r="F87" s="33">
        <f>(C87*1.1238938053)+(-4.4)</f>
        <v>15.942477875930001</v>
      </c>
      <c r="G87" s="33">
        <f>(C87*1.06194690265)+(-5.9)</f>
        <v>13.321238937965001</v>
      </c>
      <c r="H87" s="34">
        <f>(C87*1.19469026548)+(0)</f>
        <v>21.623893805188001</v>
      </c>
      <c r="I87" s="34">
        <f>(C87*1.16814159292)+(-2)</f>
        <v>19.143362831852002</v>
      </c>
      <c r="J87" s="34">
        <f>(C87*1.1238938053)+(-3.9)</f>
        <v>16.442477875930003</v>
      </c>
      <c r="K87" s="34">
        <f>(C87*1.07964601769)+(-5.6)</f>
        <v>13.941592920189001</v>
      </c>
    </row>
    <row r="88" spans="1:11" s="21" customFormat="1" ht="19.95" customHeight="1" x14ac:dyDescent="0.25">
      <c r="A88" s="13" t="str">
        <f>"15570"</f>
        <v>15570</v>
      </c>
      <c r="B88" s="14" t="s">
        <v>439</v>
      </c>
      <c r="C88" s="13" t="str">
        <f>"13.7"</f>
        <v>13.7</v>
      </c>
      <c r="D88" s="32">
        <f>(C88*1.24778761061)+(0.4)</f>
        <v>17.494690265357001</v>
      </c>
      <c r="E88" s="33">
        <f>(C88*1.16814159292)+(-1)</f>
        <v>15.003539823004001</v>
      </c>
      <c r="F88" s="33">
        <f>(C88*1.1238938053)+(-4.4)</f>
        <v>10.997345132609999</v>
      </c>
      <c r="G88" s="33">
        <f>(C88*1.06194690265)+(-5.9)</f>
        <v>8.648672566304997</v>
      </c>
      <c r="H88" s="34">
        <f>(C88*1.19469026548)+(0)</f>
        <v>16.367256637076</v>
      </c>
      <c r="I88" s="34">
        <f>(C88*1.16814159292)+(-2)</f>
        <v>14.003539823004001</v>
      </c>
      <c r="J88" s="34">
        <f>(C88*1.1238938053)+(-3.9)</f>
        <v>11.497345132609999</v>
      </c>
      <c r="K88" s="34">
        <f>(C88*1.07964601769)+(-5.6)</f>
        <v>9.1911504423529991</v>
      </c>
    </row>
    <row r="89" spans="1:11" s="21" customFormat="1" ht="19.95" customHeight="1" x14ac:dyDescent="0.25">
      <c r="A89" s="13" t="str">
        <f>"48627"</f>
        <v>48627</v>
      </c>
      <c r="B89" s="14" t="s">
        <v>440</v>
      </c>
      <c r="C89" s="13" t="str">
        <f>"6.8"</f>
        <v>6.8</v>
      </c>
      <c r="D89" s="32">
        <f>(C89*1.24778761061)+(0.4)</f>
        <v>8.8849557521480005</v>
      </c>
      <c r="E89" s="33">
        <f>(C89*1.16814159292)+(-1)</f>
        <v>6.9433628318560006</v>
      </c>
      <c r="F89" s="33">
        <f>(C89*1.1238938053)+(-4.4)</f>
        <v>3.2424778760399997</v>
      </c>
      <c r="G89" s="33">
        <f>(C89*1.06194690265)+(-5.9)</f>
        <v>1.3212389380199987</v>
      </c>
      <c r="H89" s="34">
        <f>(C89*1.19469026548)+(0)</f>
        <v>8.1238938052640002</v>
      </c>
      <c r="I89" s="34">
        <f>(C89*1.16814159292)+(-2)</f>
        <v>5.9433628318560006</v>
      </c>
      <c r="J89" s="34">
        <f>(C89*1.1238938053)+(-3.9)</f>
        <v>3.7424778760400002</v>
      </c>
      <c r="K89" s="34">
        <f>(C89*1.07964601769)+(-5.6)</f>
        <v>1.7415929202920006</v>
      </c>
    </row>
    <row r="90" spans="1:11" s="21" customFormat="1" ht="19.95" customHeight="1" x14ac:dyDescent="0.25">
      <c r="A90" s="13" t="str">
        <f>"15567"</f>
        <v>15567</v>
      </c>
      <c r="B90" s="14" t="s">
        <v>441</v>
      </c>
      <c r="C90" s="13" t="str">
        <f>"24.2"</f>
        <v>24.2</v>
      </c>
      <c r="D90" s="32">
        <f>(C90*1.24778761061)+(0.4)</f>
        <v>30.596460176762001</v>
      </c>
      <c r="E90" s="33">
        <f>(C90*1.16814159292)+(-1)</f>
        <v>27.269026548664002</v>
      </c>
      <c r="F90" s="33">
        <f>(C90*1.1238938053)+(-4.4)</f>
        <v>22.798230088259999</v>
      </c>
      <c r="G90" s="33">
        <f>(C90*1.06194690265)+(-5.9)</f>
        <v>19.799115044129998</v>
      </c>
      <c r="H90" s="34">
        <f>(C90*1.19469026548)+(0)</f>
        <v>28.911504424615998</v>
      </c>
      <c r="I90" s="34">
        <f>(C90*1.16814159292)+(-2)</f>
        <v>26.269026548664002</v>
      </c>
      <c r="J90" s="34">
        <f>(C90*1.1238938053)+(-3.9)</f>
        <v>23.298230088260002</v>
      </c>
      <c r="K90" s="34">
        <f>(C90*1.07964601769)+(-5.6)</f>
        <v>20.527433628098002</v>
      </c>
    </row>
    <row r="91" spans="1:11" s="21" customFormat="1" ht="19.95" customHeight="1" x14ac:dyDescent="0.25">
      <c r="A91" s="13" t="str">
        <f>"72455"</f>
        <v>72455</v>
      </c>
      <c r="B91" s="14" t="s">
        <v>442</v>
      </c>
      <c r="C91" s="13" t="str">
        <f>"20.3"</f>
        <v>20.3</v>
      </c>
      <c r="D91" s="32">
        <f>(C91*1.24778761061)+(0.4)</f>
        <v>25.730088495383001</v>
      </c>
      <c r="E91" s="33">
        <f>(C91*1.16814159292)+(-1)</f>
        <v>22.713274336276001</v>
      </c>
      <c r="F91" s="33">
        <f>(C91*1.1238938053)+(-4.4)</f>
        <v>18.415044247590004</v>
      </c>
      <c r="G91" s="33">
        <f>(C91*1.06194690265)+(-5.9)</f>
        <v>15.657522123794999</v>
      </c>
      <c r="H91" s="34">
        <f>(C91*1.19469026548)+(0)</f>
        <v>24.252212389244001</v>
      </c>
      <c r="I91" s="34">
        <f>(C91*1.16814159292)+(-2)</f>
        <v>21.713274336276001</v>
      </c>
      <c r="J91" s="34">
        <f>(C91*1.1238938053)+(-3.9)</f>
        <v>18.915044247590004</v>
      </c>
      <c r="K91" s="34">
        <f>(C91*1.07964601769)+(-5.6)</f>
        <v>16.316814159107004</v>
      </c>
    </row>
    <row r="92" spans="1:11" s="21" customFormat="1" ht="19.95" customHeight="1" x14ac:dyDescent="0.25">
      <c r="A92" s="13" t="str">
        <f>"1004089"</f>
        <v>1004089</v>
      </c>
      <c r="B92" s="14" t="s">
        <v>443</v>
      </c>
      <c r="C92" s="13" t="str">
        <f>"17.3"</f>
        <v>17.3</v>
      </c>
      <c r="D92" s="32">
        <f>(C92*1.24778761061)+(0.4)</f>
        <v>21.986725663553003</v>
      </c>
      <c r="E92" s="33">
        <f>(C92*1.16814159292)+(-1)</f>
        <v>19.208849557516004</v>
      </c>
      <c r="F92" s="33">
        <f>(C92*1.1238938053)+(-4.4)</f>
        <v>15.043362831690002</v>
      </c>
      <c r="G92" s="33">
        <f>(C92*1.06194690265)+(-5.9)</f>
        <v>12.471681415845</v>
      </c>
      <c r="H92" s="34">
        <f>(C92*1.19469026548)+(0)</f>
        <v>20.668141592804002</v>
      </c>
      <c r="I92" s="34">
        <f>(C92*1.16814159292)+(-2)</f>
        <v>18.208849557516004</v>
      </c>
      <c r="J92" s="34">
        <f>(C92*1.1238938053)+(-3.9)</f>
        <v>15.543362831690002</v>
      </c>
      <c r="K92" s="34">
        <f>(C92*1.07964601769)+(-5.6)</f>
        <v>13.077876106037001</v>
      </c>
    </row>
    <row r="93" spans="1:11" s="21" customFormat="1" ht="19.95" customHeight="1" x14ac:dyDescent="0.25">
      <c r="A93" s="13" t="str">
        <f>"65540"</f>
        <v>65540</v>
      </c>
      <c r="B93" s="14" t="s">
        <v>444</v>
      </c>
      <c r="C93" s="13" t="str">
        <f>"18.5"</f>
        <v>18.5</v>
      </c>
      <c r="D93" s="32">
        <f>(C93*1.24778761061)+(0.4)</f>
        <v>23.484070796285</v>
      </c>
      <c r="E93" s="33">
        <f>(C93*1.16814159292)+(-1)</f>
        <v>20.610619469020001</v>
      </c>
      <c r="F93" s="33">
        <f>(C93*1.1238938053)+(-4.4)</f>
        <v>16.392035398049998</v>
      </c>
      <c r="G93" s="33">
        <f>(C93*1.06194690265)+(-5.9)</f>
        <v>13.746017699024998</v>
      </c>
      <c r="H93" s="34">
        <f>(C93*1.19469026548)+(0)</f>
        <v>22.10176991138</v>
      </c>
      <c r="I93" s="34">
        <f>(C93*1.16814159292)+(-2)</f>
        <v>19.610619469020001</v>
      </c>
      <c r="J93" s="34">
        <f>(C93*1.1238938053)+(-3.9)</f>
        <v>16.892035398050002</v>
      </c>
      <c r="K93" s="34">
        <f>(C93*1.07964601769)+(-5.6)</f>
        <v>14.373451327265</v>
      </c>
    </row>
    <row r="94" spans="1:11" s="21" customFormat="1" ht="19.95" customHeight="1" x14ac:dyDescent="0.25">
      <c r="A94" s="13" t="str">
        <f>"15574"</f>
        <v>15574</v>
      </c>
      <c r="B94" s="14" t="s">
        <v>445</v>
      </c>
      <c r="C94" s="13" t="str">
        <f>"24.6"</f>
        <v>24.6</v>
      </c>
      <c r="D94" s="32">
        <f>(C94*1.24778761061)+(0.4)</f>
        <v>31.095575221006001</v>
      </c>
      <c r="E94" s="33">
        <f>(C94*1.16814159292)+(-1)</f>
        <v>27.736283185832004</v>
      </c>
      <c r="F94" s="33">
        <f>(C94*1.1238938053)+(-4.4)</f>
        <v>23.247787610380001</v>
      </c>
      <c r="G94" s="33">
        <f>(C94*1.06194690265)+(-5.9)</f>
        <v>20.223893805190002</v>
      </c>
      <c r="H94" s="34">
        <f>(C94*1.19469026548)+(0)</f>
        <v>29.389380530808001</v>
      </c>
      <c r="I94" s="34">
        <f>(C94*1.16814159292)+(-2)</f>
        <v>26.736283185832004</v>
      </c>
      <c r="J94" s="34">
        <f>(C94*1.1238938053)+(-3.9)</f>
        <v>23.747787610380005</v>
      </c>
      <c r="K94" s="34">
        <f>(C94*1.07964601769)+(-5.6)</f>
        <v>20.959292035174002</v>
      </c>
    </row>
    <row r="95" spans="1:11" s="21" customFormat="1" ht="19.95" customHeight="1" x14ac:dyDescent="0.25">
      <c r="A95" s="13" t="str">
        <f>"5555"</f>
        <v>5555</v>
      </c>
      <c r="B95" s="14" t="s">
        <v>446</v>
      </c>
      <c r="C95" s="13" t="str">
        <f>"7.3"</f>
        <v>7.3</v>
      </c>
      <c r="D95" s="32">
        <f>(C95*1.24778761061)+(0.4)</f>
        <v>9.5088495574530008</v>
      </c>
      <c r="E95" s="33">
        <f>(C95*1.16814159292)+(-1)</f>
        <v>7.5274336283160004</v>
      </c>
      <c r="F95" s="33">
        <f>(C95*1.1238938053)+(-4.4)</f>
        <v>3.8044247786900005</v>
      </c>
      <c r="G95" s="33">
        <f>(C95*1.06194690265)+(-5.9)</f>
        <v>1.8522123893449987</v>
      </c>
      <c r="H95" s="34">
        <f>(C95*1.19469026548)+(0)</f>
        <v>8.7212389380039994</v>
      </c>
      <c r="I95" s="34">
        <f>(C95*1.16814159292)+(-2)</f>
        <v>6.5274336283160004</v>
      </c>
      <c r="J95" s="34">
        <f>(C95*1.1238938053)+(-3.9)</f>
        <v>4.3044247786900005</v>
      </c>
      <c r="K95" s="34">
        <f>(C95*1.07964601769)+(-5.6)</f>
        <v>2.2814159291370002</v>
      </c>
    </row>
    <row r="96" spans="1:11" s="21" customFormat="1" ht="19.95" customHeight="1" x14ac:dyDescent="0.25">
      <c r="A96" s="13" t="str">
        <f>"203"</f>
        <v>203</v>
      </c>
      <c r="B96" s="14" t="s">
        <v>447</v>
      </c>
      <c r="C96" s="13" t="str">
        <f>"17.8"</f>
        <v>17.8</v>
      </c>
      <c r="D96" s="32">
        <f>(C96*1.24778761061)+(0.4)</f>
        <v>22.610619468858001</v>
      </c>
      <c r="E96" s="33">
        <f>(C96*1.16814159292)+(-1)</f>
        <v>19.792920353976001</v>
      </c>
      <c r="F96" s="33">
        <f>(C96*1.1238938053)+(-4.4)</f>
        <v>15.605309734340002</v>
      </c>
      <c r="G96" s="33">
        <f>(C96*1.06194690265)+(-5.9)</f>
        <v>13.00265486717</v>
      </c>
      <c r="H96" s="34">
        <f>(C96*1.19469026548)+(0)</f>
        <v>21.265486725544001</v>
      </c>
      <c r="I96" s="34">
        <f>(C96*1.16814159292)+(-2)</f>
        <v>18.792920353976001</v>
      </c>
      <c r="J96" s="34">
        <f>(C96*1.1238938053)+(-3.9)</f>
        <v>16.105309734340004</v>
      </c>
      <c r="K96" s="34">
        <f>(C96*1.07964601769)+(-5.6)</f>
        <v>13.617699114882003</v>
      </c>
    </row>
    <row r="97" spans="1:11" s="21" customFormat="1" ht="19.95" customHeight="1" x14ac:dyDescent="0.25">
      <c r="A97" s="13" t="str">
        <f>"1002102"</f>
        <v>1002102</v>
      </c>
      <c r="B97" s="14" t="s">
        <v>448</v>
      </c>
      <c r="C97" s="13" t="str">
        <f>"18.8"</f>
        <v>18.8</v>
      </c>
      <c r="D97" s="32">
        <f>(C97*1.24778761061)+(0.4)</f>
        <v>23.858407079468002</v>
      </c>
      <c r="E97" s="33">
        <f>(C97*1.16814159292)+(-1)</f>
        <v>20.961061946896002</v>
      </c>
      <c r="F97" s="33">
        <f>(C97*1.1238938053)+(-4.4)</f>
        <v>16.729203539640004</v>
      </c>
      <c r="G97" s="33">
        <f>(C97*1.06194690265)+(-5.9)</f>
        <v>14.064601769819999</v>
      </c>
      <c r="H97" s="34">
        <f>(C97*1.19469026548)+(0)</f>
        <v>22.460176991023999</v>
      </c>
      <c r="I97" s="34">
        <f>(C97*1.16814159292)+(-2)</f>
        <v>19.961061946896002</v>
      </c>
      <c r="J97" s="34">
        <f>(C97*1.1238938053)+(-3.9)</f>
        <v>17.229203539640004</v>
      </c>
      <c r="K97" s="34">
        <f>(C97*1.07964601769)+(-5.6)</f>
        <v>14.697345132572002</v>
      </c>
    </row>
    <row r="98" spans="1:11" s="21" customFormat="1" ht="19.95" customHeight="1" x14ac:dyDescent="0.25">
      <c r="A98" s="13" t="str">
        <f>"81054"</f>
        <v>81054</v>
      </c>
      <c r="B98" s="14" t="s">
        <v>449</v>
      </c>
      <c r="C98" s="13" t="str">
        <f>"15.8"</f>
        <v>15.8</v>
      </c>
      <c r="D98" s="32">
        <f>(C98*1.24778761061)+(0.4)</f>
        <v>20.115044247638</v>
      </c>
      <c r="E98" s="33">
        <f>(C98*1.16814159292)+(-1)</f>
        <v>17.456637168136002</v>
      </c>
      <c r="F98" s="33">
        <f>(C98*1.1238938053)+(-4.4)</f>
        <v>13.357522123740003</v>
      </c>
      <c r="G98" s="33">
        <f>(C98*1.06194690265)+(-5.9)</f>
        <v>10.87876106187</v>
      </c>
      <c r="H98" s="34">
        <f>(C98*1.19469026548)+(0)</f>
        <v>18.876106194584001</v>
      </c>
      <c r="I98" s="34">
        <f>(C98*1.16814159292)+(-2)</f>
        <v>16.456637168136002</v>
      </c>
      <c r="J98" s="34">
        <f>(C98*1.1238938053)+(-3.9)</f>
        <v>13.857522123740003</v>
      </c>
      <c r="K98" s="34">
        <f>(C98*1.07964601769)+(-5.6)</f>
        <v>11.458407079502001</v>
      </c>
    </row>
    <row r="99" spans="1:11" s="21" customFormat="1" ht="19.95" customHeight="1" x14ac:dyDescent="0.25">
      <c r="A99" s="13" t="str">
        <f>"15575"</f>
        <v>15575</v>
      </c>
      <c r="B99" s="14" t="s">
        <v>450</v>
      </c>
      <c r="C99" s="13" t="str">
        <f>"24.5"</f>
        <v>24.5</v>
      </c>
      <c r="D99" s="32">
        <f>(C99*1.24778761061)+(0.4)</f>
        <v>30.970796459944999</v>
      </c>
      <c r="E99" s="33">
        <f>(C99*1.16814159292)+(-1)</f>
        <v>27.619469026540003</v>
      </c>
      <c r="F99" s="33">
        <f>(C99*1.1238938053)+(-4.4)</f>
        <v>23.135398229850004</v>
      </c>
      <c r="G99" s="33">
        <f>(C99*1.06194690265)+(-5.9)</f>
        <v>20.117699114924996</v>
      </c>
      <c r="H99" s="34">
        <f>(C99*1.19469026548)+(0)</f>
        <v>29.269911504260001</v>
      </c>
      <c r="I99" s="34">
        <f>(C99*1.16814159292)+(-2)</f>
        <v>26.619469026540003</v>
      </c>
      <c r="J99" s="34">
        <f>(C99*1.1238938053)+(-3.9)</f>
        <v>23.635398229850004</v>
      </c>
      <c r="K99" s="34">
        <f>(C99*1.07964601769)+(-5.6)</f>
        <v>20.851327433405004</v>
      </c>
    </row>
    <row r="100" spans="1:11" s="21" customFormat="1" ht="19.95" customHeight="1" x14ac:dyDescent="0.25">
      <c r="A100" s="13" t="str">
        <f>"12549"</f>
        <v>12549</v>
      </c>
      <c r="B100" s="14" t="s">
        <v>451</v>
      </c>
      <c r="C100" s="13" t="str">
        <f>"28.5"</f>
        <v>28.5</v>
      </c>
      <c r="D100" s="32">
        <f>(C100*1.24778761061)+(0.4)</f>
        <v>35.961946902385002</v>
      </c>
      <c r="E100" s="33">
        <f>(C100*1.16814159292)+(-1)</f>
        <v>32.292035398220001</v>
      </c>
      <c r="F100" s="33">
        <f>(C100*1.1238938053)+(-4.4)</f>
        <v>27.630973451050004</v>
      </c>
      <c r="G100" s="33">
        <f>(C100*1.06194690265)+(-5.9)</f>
        <v>24.365486725524995</v>
      </c>
      <c r="H100" s="34">
        <f>(C100*1.19469026548)+(0)</f>
        <v>34.048672566180002</v>
      </c>
      <c r="I100" s="34">
        <f>(C100*1.16814159292)+(-2)</f>
        <v>31.292035398220001</v>
      </c>
      <c r="J100" s="34">
        <f>(C100*1.1238938053)+(-3.9)</f>
        <v>28.130973451050004</v>
      </c>
      <c r="K100" s="34">
        <f>(C100*1.07964601769)+(-5.6)</f>
        <v>25.169911504165</v>
      </c>
    </row>
    <row r="101" spans="1:11" s="21" customFormat="1" ht="19.95" customHeight="1" x14ac:dyDescent="0.25">
      <c r="A101" s="13" t="str">
        <f>"42438"</f>
        <v>42438</v>
      </c>
      <c r="B101" s="14" t="s">
        <v>452</v>
      </c>
      <c r="C101" s="13" t="str">
        <f>"22.6"</f>
        <v>22.6</v>
      </c>
      <c r="D101" s="32">
        <f>(C101*1.24778761061)+(0.4)</f>
        <v>28.599999999786004</v>
      </c>
      <c r="E101" s="33">
        <f>(C101*1.16814159292)+(-1)</f>
        <v>25.399999999992005</v>
      </c>
      <c r="F101" s="33">
        <f>(C101*1.1238938053)+(-4.4)</f>
        <v>20.999999999780002</v>
      </c>
      <c r="G101" s="33">
        <f>(C101*1.06194690265)+(-5.9)</f>
        <v>18.099999999890002</v>
      </c>
      <c r="H101" s="34">
        <f>(C101*1.19469026548)+(0)</f>
        <v>26.999999999848001</v>
      </c>
      <c r="I101" s="34">
        <f>(C101*1.16814159292)+(-2)</f>
        <v>24.399999999992005</v>
      </c>
      <c r="J101" s="34">
        <f>(C101*1.1238938053)+(-3.9)</f>
        <v>21.499999999780005</v>
      </c>
      <c r="K101" s="34">
        <f>(C101*1.07964601769)+(-5.6)</f>
        <v>18.799999999794004</v>
      </c>
    </row>
    <row r="102" spans="1:11" s="21" customFormat="1" ht="19.95" customHeight="1" x14ac:dyDescent="0.25">
      <c r="A102" s="13" t="str">
        <f>"1006822"</f>
        <v>1006822</v>
      </c>
      <c r="B102" s="14" t="s">
        <v>453</v>
      </c>
      <c r="C102" s="13" t="str">
        <f>"19.9"</f>
        <v>19.9</v>
      </c>
      <c r="D102" s="32">
        <f>(C102*1.24778761061)+(0.4)</f>
        <v>25.230973451139</v>
      </c>
      <c r="E102" s="33">
        <f>(C102*1.16814159292)+(-1)</f>
        <v>22.246017699107998</v>
      </c>
      <c r="F102" s="33">
        <f>(C102*1.1238938053)+(-4.4)</f>
        <v>17.965486725470001</v>
      </c>
      <c r="G102" s="33">
        <f>(C102*1.06194690265)+(-5.9)</f>
        <v>15.232743362734995</v>
      </c>
      <c r="H102" s="34">
        <f>(C102*1.19469026548)+(0)</f>
        <v>23.774336283051998</v>
      </c>
      <c r="I102" s="34">
        <f>(C102*1.16814159292)+(-2)</f>
        <v>21.246017699107998</v>
      </c>
      <c r="J102" s="34">
        <f>(C102*1.1238938053)+(-3.9)</f>
        <v>18.465486725470001</v>
      </c>
      <c r="K102" s="34">
        <f>(C102*1.07964601769)+(-5.6)</f>
        <v>15.884955752030999</v>
      </c>
    </row>
    <row r="103" spans="1:11" s="21" customFormat="1" ht="19.95" customHeight="1" x14ac:dyDescent="0.25">
      <c r="A103" s="13" t="str">
        <f>"513"</f>
        <v>513</v>
      </c>
      <c r="B103" s="14" t="s">
        <v>454</v>
      </c>
      <c r="C103" s="13" t="str">
        <f>"18.7"</f>
        <v>18.7</v>
      </c>
      <c r="D103" s="32">
        <f>(C103*1.24778761061)+(0.4)</f>
        <v>23.733628318407</v>
      </c>
      <c r="E103" s="33">
        <f>(C103*1.16814159292)+(-1)</f>
        <v>20.844247787604001</v>
      </c>
      <c r="F103" s="33">
        <f>(C103*1.1238938053)+(-4.4)</f>
        <v>16.61681415911</v>
      </c>
      <c r="G103" s="33">
        <f>(C103*1.06194690265)+(-5.9)</f>
        <v>13.958407079554997</v>
      </c>
      <c r="H103" s="34">
        <f>(C103*1.19469026548)+(0)</f>
        <v>22.340707964476</v>
      </c>
      <c r="I103" s="34">
        <f>(C103*1.16814159292)+(-2)</f>
        <v>19.844247787604001</v>
      </c>
      <c r="J103" s="34">
        <f>(C103*1.1238938053)+(-3.9)</f>
        <v>17.116814159110003</v>
      </c>
      <c r="K103" s="34">
        <f>(C103*1.07964601769)+(-5.6)</f>
        <v>14.589380530803</v>
      </c>
    </row>
    <row r="104" spans="1:11" s="21" customFormat="1" ht="19.95" customHeight="1" x14ac:dyDescent="0.25">
      <c r="A104" s="13" t="str">
        <f>"15581"</f>
        <v>15581</v>
      </c>
      <c r="B104" s="14" t="s">
        <v>455</v>
      </c>
      <c r="C104" s="13" t="str">
        <f>"26.1"</f>
        <v>26.1</v>
      </c>
      <c r="D104" s="32">
        <f>(C104*1.24778761061)+(0.4)</f>
        <v>32.967256636921</v>
      </c>
      <c r="E104" s="33">
        <f>(C104*1.16814159292)+(-1)</f>
        <v>29.488495575212003</v>
      </c>
      <c r="F104" s="33">
        <f>(C104*1.1238938053)+(-4.4)</f>
        <v>24.933628318330001</v>
      </c>
      <c r="G104" s="33">
        <f>(C104*1.06194690265)+(-5.9)</f>
        <v>21.816814159164998</v>
      </c>
      <c r="H104" s="34">
        <f>(C104*1.19469026548)+(0)</f>
        <v>31.181415929028002</v>
      </c>
      <c r="I104" s="34">
        <f>(C104*1.16814159292)+(-2)</f>
        <v>28.488495575212003</v>
      </c>
      <c r="J104" s="34">
        <f>(C104*1.1238938053)+(-3.9)</f>
        <v>25.433628318330005</v>
      </c>
      <c r="K104" s="34">
        <f>(C104*1.07964601769)+(-5.6)</f>
        <v>22.578761061709002</v>
      </c>
    </row>
    <row r="105" spans="1:11" s="21" customFormat="1" ht="19.95" customHeight="1" x14ac:dyDescent="0.25">
      <c r="A105" s="13" t="str">
        <f>"67756"</f>
        <v>67756</v>
      </c>
      <c r="B105" s="14" t="s">
        <v>456</v>
      </c>
      <c r="C105" s="13" t="str">
        <f>"20.6000"</f>
        <v>20.6000</v>
      </c>
      <c r="D105" s="32">
        <f>(C105*1.24778761061)+(0.4)</f>
        <v>26.104424778566003</v>
      </c>
      <c r="E105" s="33">
        <f>(C105*1.16814159292)+(-1)</f>
        <v>23.063716814152002</v>
      </c>
      <c r="F105" s="33">
        <f>(C105*1.1238938053)+(-4.4)</f>
        <v>18.752212389180002</v>
      </c>
      <c r="G105" s="33">
        <f>(C105*1.06194690265)+(-5.9)</f>
        <v>15.976106194590001</v>
      </c>
      <c r="H105" s="34">
        <f>(C105*1.19469026548)+(0)</f>
        <v>24.610619468888</v>
      </c>
      <c r="I105" s="34">
        <f>(C105*1.16814159292)+(-2)</f>
        <v>22.063716814152002</v>
      </c>
      <c r="J105" s="34">
        <f>(C105*1.1238938053)+(-3.9)</f>
        <v>19.252212389180006</v>
      </c>
      <c r="K105" s="34">
        <f>(C105*1.07964601769)+(-5.6)</f>
        <v>16.640707964414005</v>
      </c>
    </row>
    <row r="106" spans="1:11" s="21" customFormat="1" ht="19.95" customHeight="1" x14ac:dyDescent="0.25">
      <c r="A106" s="13" t="str">
        <f>"15587"</f>
        <v>15587</v>
      </c>
      <c r="B106" s="14" t="s">
        <v>457</v>
      </c>
      <c r="C106" s="13" t="str">
        <f>"16.2"</f>
        <v>16.2</v>
      </c>
      <c r="D106" s="32">
        <f>(C106*1.24778761061)+(0.4)</f>
        <v>20.614159291882</v>
      </c>
      <c r="E106" s="33">
        <f>(C106*1.16814159292)+(-1)</f>
        <v>17.923893805304001</v>
      </c>
      <c r="F106" s="33">
        <f>(C106*1.1238938053)+(-4.4)</f>
        <v>13.807079645859998</v>
      </c>
      <c r="G106" s="33">
        <f>(C106*1.06194690265)+(-5.9)</f>
        <v>11.303539822929997</v>
      </c>
      <c r="H106" s="34">
        <f>(C106*1.19469026548)+(0)</f>
        <v>19.353982300776</v>
      </c>
      <c r="I106" s="34">
        <f>(C106*1.16814159292)+(-2)</f>
        <v>16.923893805304001</v>
      </c>
      <c r="J106" s="34">
        <f>(C106*1.1238938053)+(-3.9)</f>
        <v>14.307079645859998</v>
      </c>
      <c r="K106" s="34">
        <f>(C106*1.07964601769)+(-5.6)</f>
        <v>11.890265486578</v>
      </c>
    </row>
    <row r="107" spans="1:11" s="21" customFormat="1" ht="19.95" customHeight="1" x14ac:dyDescent="0.25">
      <c r="A107" s="13" t="str">
        <f>"15588"</f>
        <v>15588</v>
      </c>
      <c r="B107" s="14" t="s">
        <v>458</v>
      </c>
      <c r="C107" s="13" t="str">
        <f>"18.3"</f>
        <v>18.3</v>
      </c>
      <c r="D107" s="32">
        <f>(C107*1.24778761061)+(0.4)</f>
        <v>23.234513274163</v>
      </c>
      <c r="E107" s="33">
        <f>(C107*1.16814159292)+(-1)</f>
        <v>20.376991150436002</v>
      </c>
      <c r="F107" s="33">
        <f>(C107*1.1238938053)+(-4.4)</f>
        <v>16.167256636990004</v>
      </c>
      <c r="G107" s="33">
        <f>(C107*1.06194690265)+(-5.9)</f>
        <v>13.533628318494999</v>
      </c>
      <c r="H107" s="34">
        <f>(C107*1.19469026548)+(0)</f>
        <v>21.862831858284</v>
      </c>
      <c r="I107" s="34">
        <f>(C107*1.16814159292)+(-2)</f>
        <v>19.376991150436002</v>
      </c>
      <c r="J107" s="34">
        <f>(C107*1.1238938053)+(-3.9)</f>
        <v>16.667256636990004</v>
      </c>
      <c r="K107" s="34">
        <f>(C107*1.07964601769)+(-5.6)</f>
        <v>14.157522123727</v>
      </c>
    </row>
    <row r="108" spans="1:11" s="21" customFormat="1" ht="19.95" customHeight="1" x14ac:dyDescent="0.25">
      <c r="A108" s="13" t="str">
        <f>"15589"</f>
        <v>15589</v>
      </c>
      <c r="B108" s="14" t="s">
        <v>459</v>
      </c>
      <c r="C108" s="13" t="str">
        <f>"40.0"</f>
        <v>40.0</v>
      </c>
      <c r="D108" s="32">
        <f>(C108*1.24778761061)+(0.4)</f>
        <v>50.311504424400006</v>
      </c>
      <c r="E108" s="33">
        <f>(C108*1.16814159292)+(-1)</f>
        <v>45.7256637168</v>
      </c>
      <c r="F108" s="33">
        <f>(C108*1.1238938053)+(-4.4)</f>
        <v>40.555752212000002</v>
      </c>
      <c r="G108" s="33">
        <f>(C108*1.06194690265)+(-5.9)</f>
        <v>36.577876105999998</v>
      </c>
      <c r="H108" s="34">
        <f>(C108*1.19469026548)+(0)</f>
        <v>47.787610619200002</v>
      </c>
      <c r="I108" s="34">
        <f>(C108*1.16814159292)+(-2)</f>
        <v>44.7256637168</v>
      </c>
      <c r="J108" s="34">
        <f>(C108*1.1238938053)+(-3.9)</f>
        <v>41.055752212000002</v>
      </c>
      <c r="K108" s="34">
        <f>(C108*1.07964601769)+(-5.6)</f>
        <v>37.585840707599999</v>
      </c>
    </row>
    <row r="109" spans="1:11" s="21" customFormat="1" ht="19.95" customHeight="1" x14ac:dyDescent="0.25">
      <c r="A109" s="13" t="str">
        <f>"15590"</f>
        <v>15590</v>
      </c>
      <c r="B109" s="14" t="s">
        <v>460</v>
      </c>
      <c r="C109" s="13" t="str">
        <f>"36.9"</f>
        <v>36.9</v>
      </c>
      <c r="D109" s="32">
        <f>(C109*1.24778761061)+(0.4)</f>
        <v>46.443362831508999</v>
      </c>
      <c r="E109" s="33">
        <f>(C109*1.16814159292)+(-1)</f>
        <v>42.104424778748005</v>
      </c>
      <c r="F109" s="33">
        <f>(C109*1.1238938053)+(-4.4)</f>
        <v>37.071681415570005</v>
      </c>
      <c r="G109" s="33">
        <f>(C109*1.06194690265)+(-5.9)</f>
        <v>33.285840707784999</v>
      </c>
      <c r="H109" s="34">
        <f>(C109*1.19469026548)+(0)</f>
        <v>44.084070796211996</v>
      </c>
      <c r="I109" s="34">
        <f>(C109*1.16814159292)+(-2)</f>
        <v>41.104424778748005</v>
      </c>
      <c r="J109" s="34">
        <f>(C109*1.1238938053)+(-3.9)</f>
        <v>37.571681415570005</v>
      </c>
      <c r="K109" s="34">
        <f>(C109*1.07964601769)+(-5.6)</f>
        <v>34.238938052761</v>
      </c>
    </row>
    <row r="110" spans="1:11" s="21" customFormat="1" ht="19.95" customHeight="1" x14ac:dyDescent="0.25">
      <c r="A110" s="13" t="str">
        <f>"1009562"</f>
        <v>1009562</v>
      </c>
      <c r="B110" s="14" t="s">
        <v>461</v>
      </c>
      <c r="C110" s="13" t="str">
        <f>"17.9"</f>
        <v>17.9</v>
      </c>
      <c r="D110" s="32">
        <f>(C110*1.24778761061)+(0.4)</f>
        <v>22.735398229918999</v>
      </c>
      <c r="E110" s="33">
        <f>(C110*1.16814159292)+(-1)</f>
        <v>19.909734513267999</v>
      </c>
      <c r="F110" s="33">
        <f>(C110*1.1238938053)+(-4.4)</f>
        <v>15.717699114869999</v>
      </c>
      <c r="G110" s="33">
        <f>(C110*1.06194690265)+(-5.9)</f>
        <v>13.108849557434995</v>
      </c>
      <c r="H110" s="34">
        <f>(C110*1.19469026548)+(0)</f>
        <v>21.384955752091997</v>
      </c>
      <c r="I110" s="34">
        <f>(C110*1.16814159292)+(-2)</f>
        <v>18.909734513267999</v>
      </c>
      <c r="J110" s="34">
        <f>(C110*1.1238938053)+(-3.9)</f>
        <v>16.217699114870001</v>
      </c>
      <c r="K110" s="34">
        <f>(C110*1.07964601769)+(-5.6)</f>
        <v>13.725663716651001</v>
      </c>
    </row>
    <row r="111" spans="1:11" s="21" customFormat="1" ht="19.95" customHeight="1" x14ac:dyDescent="0.25">
      <c r="A111" s="13" t="str">
        <f>"1010349"</f>
        <v>1010349</v>
      </c>
      <c r="B111" s="14" t="s">
        <v>462</v>
      </c>
      <c r="C111" s="13" t="str">
        <f>"7.8000"</f>
        <v>7.8000</v>
      </c>
      <c r="D111" s="32">
        <f>(C111*1.24778761061)+(0.4)</f>
        <v>10.132743362758001</v>
      </c>
      <c r="E111" s="33">
        <f>(C111*1.16814159292)+(-1)</f>
        <v>8.1115044247760011</v>
      </c>
      <c r="F111" s="33">
        <f>(C111*1.1238938053)+(-4.4)</f>
        <v>4.3663716813400004</v>
      </c>
      <c r="G111" s="33">
        <f>(C111*1.06194690265)+(-5.9)</f>
        <v>2.3831858406699986</v>
      </c>
      <c r="H111" s="34">
        <f>(C111*1.19469026548)+(0)</f>
        <v>9.3185840707440004</v>
      </c>
      <c r="I111" s="34">
        <f>(C111*1.16814159292)+(-2)</f>
        <v>7.1115044247760011</v>
      </c>
      <c r="J111" s="34">
        <f>(C111*1.1238938053)+(-3.9)</f>
        <v>4.8663716813400004</v>
      </c>
      <c r="K111" s="34">
        <f>(C111*1.07964601769)+(-5.6)</f>
        <v>2.8212389379820006</v>
      </c>
    </row>
    <row r="112" spans="1:11" s="21" customFormat="1" ht="19.95" customHeight="1" x14ac:dyDescent="0.25">
      <c r="A112" s="13" t="str">
        <f>"1009775"</f>
        <v>1009775</v>
      </c>
      <c r="B112" s="14" t="s">
        <v>463</v>
      </c>
      <c r="C112" s="13" t="str">
        <f>"19.5"</f>
        <v>19.5</v>
      </c>
      <c r="D112" s="32">
        <f>(C112*1.24778761061)+(0.4)</f>
        <v>24.731858406895</v>
      </c>
      <c r="E112" s="33">
        <f>(C112*1.16814159292)+(-1)</f>
        <v>21.778761061940003</v>
      </c>
      <c r="F112" s="33">
        <f>(C112*1.1238938053)+(-4.4)</f>
        <v>17.515929203349998</v>
      </c>
      <c r="G112" s="33">
        <f>(C112*1.06194690265)+(-5.9)</f>
        <v>14.807964601674998</v>
      </c>
      <c r="H112" s="34">
        <f>(C112*1.19469026548)+(0)</f>
        <v>23.296460176860002</v>
      </c>
      <c r="I112" s="34">
        <f>(C112*1.16814159292)+(-2)</f>
        <v>20.778761061940003</v>
      </c>
      <c r="J112" s="34">
        <f>(C112*1.1238938053)+(-3.9)</f>
        <v>18.015929203350002</v>
      </c>
      <c r="K112" s="34">
        <f>(C112*1.07964601769)+(-5.6)</f>
        <v>15.453097344954999</v>
      </c>
    </row>
    <row r="113" spans="1:11" s="21" customFormat="1" ht="19.95" customHeight="1" x14ac:dyDescent="0.25">
      <c r="A113" s="13" t="str">
        <f>"15592"</f>
        <v>15592</v>
      </c>
      <c r="B113" s="14" t="s">
        <v>464</v>
      </c>
      <c r="C113" s="13" t="str">
        <f>"28.8"</f>
        <v>28.8</v>
      </c>
      <c r="D113" s="32">
        <f>(C113*1.24778761061)+(0.4)</f>
        <v>36.336283185568</v>
      </c>
      <c r="E113" s="33">
        <f>(C113*1.16814159292)+(-1)</f>
        <v>32.642477876096002</v>
      </c>
      <c r="F113" s="33">
        <f>(C113*1.1238938053)+(-4.4)</f>
        <v>27.968141592640002</v>
      </c>
      <c r="G113" s="33">
        <f>(C113*1.06194690265)+(-5.9)</f>
        <v>24.68407079632</v>
      </c>
      <c r="H113" s="34">
        <f>(C113*1.19469026548)+(0)</f>
        <v>34.407079645823998</v>
      </c>
      <c r="I113" s="34">
        <f>(C113*1.16814159292)+(-2)</f>
        <v>31.642477876096002</v>
      </c>
      <c r="J113" s="34">
        <f>(C113*1.1238938053)+(-3.9)</f>
        <v>28.468141592640002</v>
      </c>
      <c r="K113" s="34">
        <f>(C113*1.07964601769)+(-5.6)</f>
        <v>25.493805309472002</v>
      </c>
    </row>
    <row r="114" spans="1:11" s="21" customFormat="1" ht="19.95" customHeight="1" x14ac:dyDescent="0.25">
      <c r="A114" s="13" t="str">
        <f>"15594"</f>
        <v>15594</v>
      </c>
      <c r="B114" s="14" t="s">
        <v>465</v>
      </c>
      <c r="C114" s="13" t="str">
        <f>"27.3"</f>
        <v>27.3</v>
      </c>
      <c r="D114" s="32">
        <f>(C114*1.24778761061)+(0.4)</f>
        <v>34.464601769653001</v>
      </c>
      <c r="E114" s="33">
        <f>(C114*1.16814159292)+(-1)</f>
        <v>30.890265486716004</v>
      </c>
      <c r="F114" s="33">
        <f>(C114*1.1238938053)+(-4.4)</f>
        <v>26.282300884690002</v>
      </c>
      <c r="G114" s="33">
        <f>(C114*1.06194690265)+(-5.9)</f>
        <v>23.091150442344997</v>
      </c>
      <c r="H114" s="34">
        <f>(C114*1.19469026548)+(0)</f>
        <v>32.615044247604004</v>
      </c>
      <c r="I114" s="34">
        <f>(C114*1.16814159292)+(-2)</f>
        <v>29.890265486716004</v>
      </c>
      <c r="J114" s="34">
        <f>(C114*1.1238938053)+(-3.9)</f>
        <v>26.782300884690002</v>
      </c>
      <c r="K114" s="34">
        <f>(C114*1.07964601769)+(-5.6)</f>
        <v>23.874336282937001</v>
      </c>
    </row>
    <row r="115" spans="1:11" s="21" customFormat="1" ht="19.95" customHeight="1" x14ac:dyDescent="0.25">
      <c r="A115" s="13" t="str">
        <f>"66379"</f>
        <v>66379</v>
      </c>
      <c r="B115" s="14" t="s">
        <v>466</v>
      </c>
      <c r="C115" s="13" t="str">
        <f>"9.9"</f>
        <v>9.9</v>
      </c>
      <c r="D115" s="32">
        <f>(C115*1.24778761061)+(0.4)</f>
        <v>12.753097345039002</v>
      </c>
      <c r="E115" s="33">
        <f>(C115*1.16814159292)+(-1)</f>
        <v>10.564601769908002</v>
      </c>
      <c r="F115" s="33">
        <f>(C115*1.1238938053)+(-4.4)</f>
        <v>6.7265486724700008</v>
      </c>
      <c r="G115" s="33">
        <f>(C115*1.06194690265)+(-5.9)</f>
        <v>4.6132743362349995</v>
      </c>
      <c r="H115" s="34">
        <f>(C115*1.19469026548)+(0)</f>
        <v>11.827433628252001</v>
      </c>
      <c r="I115" s="34">
        <f>(C115*1.16814159292)+(-2)</f>
        <v>9.5646017699080019</v>
      </c>
      <c r="J115" s="34">
        <f>(C115*1.1238938053)+(-3.9)</f>
        <v>7.2265486724700008</v>
      </c>
      <c r="K115" s="34">
        <f>(C115*1.07964601769)+(-5.6)</f>
        <v>5.0884955751310006</v>
      </c>
    </row>
    <row r="116" spans="1:11" s="21" customFormat="1" ht="19.95" customHeight="1" x14ac:dyDescent="0.25">
      <c r="A116" s="13" t="str">
        <f>"21621"</f>
        <v>21621</v>
      </c>
      <c r="B116" s="14" t="s">
        <v>467</v>
      </c>
      <c r="C116" s="13" t="str">
        <f>"16.0"</f>
        <v>16.0</v>
      </c>
      <c r="D116" s="32">
        <f>(C116*1.24778761061)+(0.4)</f>
        <v>20.36460176976</v>
      </c>
      <c r="E116" s="33">
        <f>(C116*1.16814159292)+(-1)</f>
        <v>17.690265486720001</v>
      </c>
      <c r="F116" s="33">
        <f>(C116*1.1238938053)+(-4.4)</f>
        <v>13.5823008848</v>
      </c>
      <c r="G116" s="33">
        <f>(C116*1.06194690265)+(-5.9)</f>
        <v>11.091150442399998</v>
      </c>
      <c r="H116" s="34">
        <f>(C116*1.19469026548)+(0)</f>
        <v>19.11504424768</v>
      </c>
      <c r="I116" s="34">
        <f>(C116*1.16814159292)+(-2)</f>
        <v>16.690265486720001</v>
      </c>
      <c r="J116" s="34">
        <f>(C116*1.1238938053)+(-3.9)</f>
        <v>14.0823008848</v>
      </c>
      <c r="K116" s="34">
        <f>(C116*1.07964601769)+(-5.6)</f>
        <v>11.674336283040001</v>
      </c>
    </row>
    <row r="117" spans="1:11" s="21" customFormat="1" ht="19.95" customHeight="1" x14ac:dyDescent="0.25">
      <c r="A117" s="13" t="str">
        <f>"15596"</f>
        <v>15596</v>
      </c>
      <c r="B117" s="14" t="s">
        <v>468</v>
      </c>
      <c r="C117" s="13" t="str">
        <f>"13.3"</f>
        <v>13.3</v>
      </c>
      <c r="D117" s="32">
        <f>(C117*1.24778761061)+(0.4)</f>
        <v>16.995575221113</v>
      </c>
      <c r="E117" s="33">
        <f>(C117*1.16814159292)+(-1)</f>
        <v>14.536283185836002</v>
      </c>
      <c r="F117" s="33">
        <f>(C117*1.1238938053)+(-4.4)</f>
        <v>10.547787610490001</v>
      </c>
      <c r="G117" s="33">
        <f>(C117*1.06194690265)+(-5.9)</f>
        <v>8.2238938052449999</v>
      </c>
      <c r="H117" s="34">
        <f>(C117*1.19469026548)+(0)</f>
        <v>15.889380530884001</v>
      </c>
      <c r="I117" s="34">
        <f>(C117*1.16814159292)+(-2)</f>
        <v>13.536283185836002</v>
      </c>
      <c r="J117" s="34">
        <f>(C117*1.1238938053)+(-3.9)</f>
        <v>11.047787610490001</v>
      </c>
      <c r="K117" s="34">
        <f>(C117*1.07964601769)+(-5.6)</f>
        <v>8.7592920352770012</v>
      </c>
    </row>
    <row r="118" spans="1:11" s="21" customFormat="1" ht="19.95" customHeight="1" x14ac:dyDescent="0.25">
      <c r="A118" s="13" t="str">
        <f>"1017702"</f>
        <v>1017702</v>
      </c>
      <c r="B118" s="14" t="s">
        <v>1919</v>
      </c>
      <c r="C118" s="13" t="str">
        <f>"25.5"</f>
        <v>25.5</v>
      </c>
      <c r="D118" s="32">
        <f>(C118*1.24778761061)+(0.4)</f>
        <v>32.218584070555004</v>
      </c>
      <c r="E118" s="33">
        <f>(C118*1.16814159292)+(-1)</f>
        <v>28.787610619460001</v>
      </c>
      <c r="F118" s="33">
        <f>(C118*1.1238938053)+(-4.4)</f>
        <v>24.259292035150004</v>
      </c>
      <c r="G118" s="33">
        <f>(C118*1.06194690265)+(-5.9)</f>
        <v>21.179646017574996</v>
      </c>
      <c r="H118" s="34">
        <f>(C118*1.19469026548)+(0)</f>
        <v>30.46460176974</v>
      </c>
      <c r="I118" s="34">
        <f>(C118*1.16814159292)+(-2)</f>
        <v>27.787610619460001</v>
      </c>
      <c r="J118" s="34">
        <f>(C118*1.1238938053)+(-3.9)</f>
        <v>24.759292035150004</v>
      </c>
      <c r="K118" s="34">
        <f>(C118*1.07964601769)+(-5.6)</f>
        <v>21.930973451094999</v>
      </c>
    </row>
    <row r="119" spans="1:11" s="21" customFormat="1" ht="19.95" customHeight="1" x14ac:dyDescent="0.25">
      <c r="A119" s="13" t="str">
        <f>"72791"</f>
        <v>72791</v>
      </c>
      <c r="B119" s="14" t="s">
        <v>469</v>
      </c>
      <c r="C119" s="13" t="str">
        <f>"32.4"</f>
        <v>32.4</v>
      </c>
      <c r="D119" s="32">
        <f>(C119*1.24778761061)+(0.4)</f>
        <v>40.828318583764002</v>
      </c>
      <c r="E119" s="33">
        <f>(C119*1.16814159292)+(-1)</f>
        <v>36.847787610608002</v>
      </c>
      <c r="F119" s="33">
        <f>(C119*1.1238938053)+(-4.4)</f>
        <v>32.014159291719999</v>
      </c>
      <c r="G119" s="33">
        <f>(C119*1.06194690265)+(-5.9)</f>
        <v>28.507079645859996</v>
      </c>
      <c r="H119" s="34">
        <f>(C119*1.19469026548)+(0)</f>
        <v>38.707964601552</v>
      </c>
      <c r="I119" s="34">
        <f>(C119*1.16814159292)+(-2)</f>
        <v>35.847787610608002</v>
      </c>
      <c r="J119" s="34">
        <f>(C119*1.1238938053)+(-3.9)</f>
        <v>32.514159291719999</v>
      </c>
      <c r="K119" s="34">
        <f>(C119*1.07964601769)+(-5.6)</f>
        <v>29.380530973155999</v>
      </c>
    </row>
    <row r="120" spans="1:11" s="21" customFormat="1" ht="19.95" customHeight="1" x14ac:dyDescent="0.25">
      <c r="A120" s="13" t="str">
        <f>"47671"</f>
        <v>47671</v>
      </c>
      <c r="B120" s="14" t="s">
        <v>470</v>
      </c>
      <c r="C120" s="13" t="str">
        <f>"16.1"</f>
        <v>16.1</v>
      </c>
      <c r="D120" s="32">
        <f>(C120*1.24778761061)+(0.4)</f>
        <v>20.489380530821002</v>
      </c>
      <c r="E120" s="33">
        <f>(C120*1.16814159292)+(-1)</f>
        <v>17.807079646012003</v>
      </c>
      <c r="F120" s="33">
        <f>(C120*1.1238938053)+(-4.4)</f>
        <v>13.694690265330001</v>
      </c>
      <c r="G120" s="33">
        <f>(C120*1.06194690265)+(-5.9)</f>
        <v>11.197345132665001</v>
      </c>
      <c r="H120" s="34">
        <f>(C120*1.19469026548)+(0)</f>
        <v>19.234513274228004</v>
      </c>
      <c r="I120" s="34">
        <f>(C120*1.16814159292)+(-2)</f>
        <v>16.807079646012003</v>
      </c>
      <c r="J120" s="34">
        <f>(C120*1.1238938053)+(-3.9)</f>
        <v>14.194690265330001</v>
      </c>
      <c r="K120" s="34">
        <f>(C120*1.07964601769)+(-5.6)</f>
        <v>11.782300884809002</v>
      </c>
    </row>
    <row r="121" spans="1:11" s="21" customFormat="1" ht="19.95" customHeight="1" x14ac:dyDescent="0.25">
      <c r="A121" s="13" t="str">
        <f>"15601"</f>
        <v>15601</v>
      </c>
      <c r="B121" s="14" t="s">
        <v>471</v>
      </c>
      <c r="C121" s="13" t="str">
        <f>"26.2"</f>
        <v>26.2</v>
      </c>
      <c r="D121" s="32">
        <f>(C121*1.24778761061)+(0.4)</f>
        <v>33.092035397982002</v>
      </c>
      <c r="E121" s="33">
        <f>(C121*1.16814159292)+(-1)</f>
        <v>29.605309734504001</v>
      </c>
      <c r="F121" s="33">
        <f>(C121*1.1238938053)+(-4.4)</f>
        <v>25.046017698859998</v>
      </c>
      <c r="G121" s="33">
        <f>(C121*1.06194690265)+(-5.9)</f>
        <v>21.923008849429998</v>
      </c>
      <c r="H121" s="34">
        <f>(C121*1.19469026548)+(0)</f>
        <v>31.300884955575999</v>
      </c>
      <c r="I121" s="34">
        <f>(C121*1.16814159292)+(-2)</f>
        <v>28.605309734504001</v>
      </c>
      <c r="J121" s="34">
        <f>(C121*1.1238938053)+(-3.9)</f>
        <v>25.546017698860002</v>
      </c>
      <c r="K121" s="34">
        <f>(C121*1.07964601769)+(-5.6)</f>
        <v>22.686725663478001</v>
      </c>
    </row>
    <row r="122" spans="1:11" s="21" customFormat="1" ht="19.95" customHeight="1" x14ac:dyDescent="0.25">
      <c r="A122" s="13" t="str">
        <f>"49561"</f>
        <v>49561</v>
      </c>
      <c r="B122" s="14" t="s">
        <v>472</v>
      </c>
      <c r="C122" s="13" t="str">
        <f>"11.3"</f>
        <v>11.3</v>
      </c>
      <c r="D122" s="32">
        <f>(C122*1.24778761061)+(0.4)</f>
        <v>14.499999999893003</v>
      </c>
      <c r="E122" s="33">
        <f>(C122*1.16814159292)+(-1)</f>
        <v>12.199999999996002</v>
      </c>
      <c r="F122" s="33">
        <f>(C122*1.1238938053)+(-4.4)</f>
        <v>8.2999999998900016</v>
      </c>
      <c r="G122" s="33">
        <f>(C122*1.06194690265)+(-5.9)</f>
        <v>6.0999999999450001</v>
      </c>
      <c r="H122" s="34">
        <f>(C122*1.19469026548)+(0)</f>
        <v>13.499999999924</v>
      </c>
      <c r="I122" s="34">
        <f>(C122*1.16814159292)+(-2)</f>
        <v>11.199999999996002</v>
      </c>
      <c r="J122" s="34">
        <f>(C122*1.1238938053)+(-3.9)</f>
        <v>8.7999999998900016</v>
      </c>
      <c r="K122" s="34">
        <f>(C122*1.07964601769)+(-5.6)</f>
        <v>6.5999999998970011</v>
      </c>
    </row>
    <row r="123" spans="1:11" s="21" customFormat="1" ht="19.95" customHeight="1" x14ac:dyDescent="0.25">
      <c r="A123" s="13" t="str">
        <f>"1013040"</f>
        <v>1013040</v>
      </c>
      <c r="B123" s="14" t="s">
        <v>473</v>
      </c>
      <c r="C123" s="13" t="str">
        <f>"25.3000"</f>
        <v>25.3000</v>
      </c>
      <c r="D123" s="32">
        <f>(C123*1.24778761061)+(0.4)</f>
        <v>31.969026548433003</v>
      </c>
      <c r="E123" s="33">
        <f>(C123*1.16814159292)+(-1)</f>
        <v>28.553982300876005</v>
      </c>
      <c r="F123" s="33">
        <f>(C123*1.1238938053)+(-4.4)</f>
        <v>24.034513274090003</v>
      </c>
      <c r="G123" s="33">
        <f>(C123*1.06194690265)+(-5.9)</f>
        <v>20.967256637044997</v>
      </c>
      <c r="H123" s="34">
        <f>(C123*1.19469026548)+(0)</f>
        <v>30.225663716644</v>
      </c>
      <c r="I123" s="34">
        <f>(C123*1.16814159292)+(-2)</f>
        <v>27.553982300876005</v>
      </c>
      <c r="J123" s="34">
        <f>(C123*1.1238938053)+(-3.9)</f>
        <v>24.534513274090003</v>
      </c>
      <c r="K123" s="34">
        <f>(C123*1.07964601769)+(-5.6)</f>
        <v>21.715044247557003</v>
      </c>
    </row>
    <row r="124" spans="1:11" s="21" customFormat="1" ht="19.95" customHeight="1" x14ac:dyDescent="0.25">
      <c r="A124" s="13" t="str">
        <f>"15604"</f>
        <v>15604</v>
      </c>
      <c r="B124" s="14" t="s">
        <v>474</v>
      </c>
      <c r="C124" s="13" t="str">
        <f>"21.3"</f>
        <v>21.3</v>
      </c>
      <c r="D124" s="32">
        <f>(C124*1.24778761061)+(0.4)</f>
        <v>26.977876105993001</v>
      </c>
      <c r="E124" s="33">
        <f>(C124*1.16814159292)+(-1)</f>
        <v>23.881415929196002</v>
      </c>
      <c r="F124" s="33">
        <f>(C124*1.1238938053)+(-4.4)</f>
        <v>19.538938052890003</v>
      </c>
      <c r="G124" s="33">
        <f>(C124*1.06194690265)+(-5.9)</f>
        <v>16.719469026444997</v>
      </c>
      <c r="H124" s="34">
        <f>(C124*1.19469026548)+(0)</f>
        <v>25.446902654724003</v>
      </c>
      <c r="I124" s="34">
        <f>(C124*1.16814159292)+(-2)</f>
        <v>22.881415929196002</v>
      </c>
      <c r="J124" s="34">
        <f>(C124*1.1238938053)+(-3.9)</f>
        <v>20.038938052890003</v>
      </c>
      <c r="K124" s="34">
        <f>(C124*1.07964601769)+(-5.6)</f>
        <v>17.396460176797</v>
      </c>
    </row>
    <row r="125" spans="1:11" s="21" customFormat="1" ht="19.95" customHeight="1" x14ac:dyDescent="0.25">
      <c r="A125" s="13" t="str">
        <f>"74116"</f>
        <v>74116</v>
      </c>
      <c r="B125" s="14" t="s">
        <v>475</v>
      </c>
      <c r="C125" s="13" t="str">
        <f>"17.1"</f>
        <v>17.1</v>
      </c>
      <c r="D125" s="32">
        <f>(C125*1.24778761061)+(0.4)</f>
        <v>21.737168141431003</v>
      </c>
      <c r="E125" s="33">
        <f>(C125*1.16814159292)+(-1)</f>
        <v>18.975221238932004</v>
      </c>
      <c r="F125" s="33">
        <f>(C125*1.1238938053)+(-4.4)</f>
        <v>14.818584070630001</v>
      </c>
      <c r="G125" s="33">
        <f>(C125*1.06194690265)+(-5.9)</f>
        <v>12.259292035315001</v>
      </c>
      <c r="H125" s="34">
        <f>(C125*1.19469026548)+(0)</f>
        <v>20.429203539708002</v>
      </c>
      <c r="I125" s="34">
        <f>(C125*1.16814159292)+(-2)</f>
        <v>17.975221238932004</v>
      </c>
      <c r="J125" s="34">
        <f>(C125*1.1238938053)+(-3.9)</f>
        <v>15.318584070630001</v>
      </c>
      <c r="K125" s="34">
        <f>(C125*1.07964601769)+(-5.6)</f>
        <v>12.861946902499001</v>
      </c>
    </row>
    <row r="126" spans="1:11" s="21" customFormat="1" ht="19.95" customHeight="1" x14ac:dyDescent="0.25">
      <c r="A126" s="13" t="str">
        <f>"79789"</f>
        <v>79789</v>
      </c>
      <c r="B126" s="14" t="s">
        <v>476</v>
      </c>
      <c r="C126" s="13" t="str">
        <f>"27.7"</f>
        <v>27.7</v>
      </c>
      <c r="D126" s="32">
        <f>(C126*1.24778761061)+(0.4)</f>
        <v>34.963716813897001</v>
      </c>
      <c r="E126" s="33">
        <f>(C126*1.16814159292)+(-1)</f>
        <v>31.357522123884003</v>
      </c>
      <c r="F126" s="33">
        <f>(C126*1.1238938053)+(-4.4)</f>
        <v>26.731858406809998</v>
      </c>
      <c r="G126" s="33">
        <f>(C126*1.06194690265)+(-5.9)</f>
        <v>23.515929203404994</v>
      </c>
      <c r="H126" s="34">
        <f>(C126*1.19469026548)+(0)</f>
        <v>33.092920353795996</v>
      </c>
      <c r="I126" s="34">
        <f>(C126*1.16814159292)+(-2)</f>
        <v>30.357522123884003</v>
      </c>
      <c r="J126" s="34">
        <f>(C126*1.1238938053)+(-3.9)</f>
        <v>27.231858406810002</v>
      </c>
      <c r="K126" s="34">
        <f>(C126*1.07964601769)+(-5.6)</f>
        <v>24.306194690013001</v>
      </c>
    </row>
    <row r="127" spans="1:11" s="21" customFormat="1" ht="19.95" customHeight="1" x14ac:dyDescent="0.25">
      <c r="A127" s="13" t="str">
        <f>"15605"</f>
        <v>15605</v>
      </c>
      <c r="B127" s="14" t="s">
        <v>477</v>
      </c>
      <c r="C127" s="13" t="str">
        <f>"17.0"</f>
        <v>17.0</v>
      </c>
      <c r="D127" s="32">
        <f>(C127*1.24778761061)+(0.4)</f>
        <v>21.612389380370001</v>
      </c>
      <c r="E127" s="33">
        <f>(C127*1.16814159292)+(-1)</f>
        <v>18.858407079640003</v>
      </c>
      <c r="F127" s="33">
        <f>(C127*1.1238938053)+(-4.4)</f>
        <v>14.7061946901</v>
      </c>
      <c r="G127" s="33">
        <f>(C127*1.06194690265)+(-5.9)</f>
        <v>12.153097345049998</v>
      </c>
      <c r="H127" s="34">
        <f>(C127*1.19469026548)+(0)</f>
        <v>20.309734513159999</v>
      </c>
      <c r="I127" s="34">
        <f>(C127*1.16814159292)+(-2)</f>
        <v>17.858407079640003</v>
      </c>
      <c r="J127" s="34">
        <f>(C127*1.1238938053)+(-3.9)</f>
        <v>15.2061946901</v>
      </c>
      <c r="K127" s="34">
        <f>(C127*1.07964601769)+(-5.6)</f>
        <v>12.75398230073</v>
      </c>
    </row>
    <row r="128" spans="1:11" s="21" customFormat="1" ht="19.95" customHeight="1" x14ac:dyDescent="0.25">
      <c r="A128" s="13" t="str">
        <f>"26904"</f>
        <v>26904</v>
      </c>
      <c r="B128" s="14" t="s">
        <v>478</v>
      </c>
      <c r="C128" s="13" t="str">
        <f>"11.4"</f>
        <v>11.4</v>
      </c>
      <c r="D128" s="32">
        <f>(C128*1.24778761061)+(0.4)</f>
        <v>14.624778760954001</v>
      </c>
      <c r="E128" s="33">
        <f>(C128*1.16814159292)+(-1)</f>
        <v>12.316814159288</v>
      </c>
      <c r="F128" s="33">
        <f>(C128*1.1238938053)+(-4.4)</f>
        <v>8.4123893804200005</v>
      </c>
      <c r="G128" s="33">
        <f>(C128*1.06194690265)+(-5.9)</f>
        <v>6.2061946902099994</v>
      </c>
      <c r="H128" s="34">
        <f>(C128*1.19469026548)+(0)</f>
        <v>13.619469026472</v>
      </c>
      <c r="I128" s="34">
        <f>(C128*1.16814159292)+(-2)</f>
        <v>11.316814159288</v>
      </c>
      <c r="J128" s="34">
        <f>(C128*1.1238938053)+(-3.9)</f>
        <v>8.9123893804200005</v>
      </c>
      <c r="K128" s="34">
        <f>(C128*1.07964601769)+(-5.6)</f>
        <v>6.7079646016660011</v>
      </c>
    </row>
    <row r="129" spans="1:11" s="21" customFormat="1" ht="19.95" customHeight="1" x14ac:dyDescent="0.25">
      <c r="A129" s="13" t="str">
        <f>"40701"</f>
        <v>40701</v>
      </c>
      <c r="B129" s="14" t="s">
        <v>479</v>
      </c>
      <c r="C129" s="13" t="str">
        <f>"10.2"</f>
        <v>10.2</v>
      </c>
      <c r="D129" s="32">
        <f>(C129*1.24778761061)+(0.4)</f>
        <v>13.127433628222001</v>
      </c>
      <c r="E129" s="33">
        <f>(C129*1.16814159292)+(-1)</f>
        <v>10.915044247784</v>
      </c>
      <c r="F129" s="33">
        <f>(C129*1.1238938053)+(-4.4)</f>
        <v>7.0637168140599993</v>
      </c>
      <c r="G129" s="33">
        <f>(C129*1.06194690265)+(-5.9)</f>
        <v>4.9318584070299973</v>
      </c>
      <c r="H129" s="34">
        <f>(C129*1.19469026548)+(0)</f>
        <v>12.185840707895998</v>
      </c>
      <c r="I129" s="34">
        <f>(C129*1.16814159292)+(-2)</f>
        <v>9.9150442477839995</v>
      </c>
      <c r="J129" s="34">
        <f>(C129*1.1238938053)+(-3.9)</f>
        <v>7.5637168140599993</v>
      </c>
      <c r="K129" s="34">
        <f>(C129*1.07964601769)+(-5.6)</f>
        <v>5.4123893804380003</v>
      </c>
    </row>
    <row r="130" spans="1:11" s="21" customFormat="1" ht="19.95" customHeight="1" x14ac:dyDescent="0.25">
      <c r="A130" s="13" t="str">
        <f>"76561"</f>
        <v>76561</v>
      </c>
      <c r="B130" s="14" t="s">
        <v>480</v>
      </c>
      <c r="C130" s="13" t="str">
        <f>"36.8"</f>
        <v>36.8</v>
      </c>
      <c r="D130" s="32">
        <f>(C130*1.24778761061)+(0.4)</f>
        <v>46.318584070447997</v>
      </c>
      <c r="E130" s="33">
        <f>(C130*1.16814159292)+(-1)</f>
        <v>41.987610619455999</v>
      </c>
      <c r="F130" s="33">
        <f>(C130*1.1238938053)+(-4.4)</f>
        <v>36.959292035040001</v>
      </c>
      <c r="G130" s="33">
        <f>(C130*1.06194690265)+(-5.9)</f>
        <v>33.179646017519993</v>
      </c>
      <c r="H130" s="34">
        <f>(C130*1.19469026548)+(0)</f>
        <v>43.964601769664</v>
      </c>
      <c r="I130" s="34">
        <f>(C130*1.16814159292)+(-2)</f>
        <v>40.987610619455999</v>
      </c>
      <c r="J130" s="34">
        <f>(C130*1.1238938053)+(-3.9)</f>
        <v>37.459292035040001</v>
      </c>
      <c r="K130" s="34">
        <f>(C130*1.07964601769)+(-5.6)</f>
        <v>34.130973450991995</v>
      </c>
    </row>
    <row r="131" spans="1:11" s="21" customFormat="1" ht="19.95" customHeight="1" x14ac:dyDescent="0.25">
      <c r="A131" s="13" t="str">
        <f>"4942"</f>
        <v>4942</v>
      </c>
      <c r="B131" s="14" t="s">
        <v>481</v>
      </c>
      <c r="C131" s="13" t="str">
        <f>"14.1"</f>
        <v>14.1</v>
      </c>
      <c r="D131" s="32">
        <f>(C131*1.24778761061)+(0.4)</f>
        <v>17.993805309601001</v>
      </c>
      <c r="E131" s="33">
        <f>(C131*1.16814159292)+(-1)</f>
        <v>15.470796460172</v>
      </c>
      <c r="F131" s="33">
        <f>(C131*1.1238938053)+(-4.4)</f>
        <v>11.44690265473</v>
      </c>
      <c r="G131" s="33">
        <f>(C131*1.06194690265)+(-5.9)</f>
        <v>9.0734513273649977</v>
      </c>
      <c r="H131" s="34">
        <f>(C131*1.19469026548)+(0)</f>
        <v>16.845132743268</v>
      </c>
      <c r="I131" s="34">
        <f>(C131*1.16814159292)+(-2)</f>
        <v>14.470796460172</v>
      </c>
      <c r="J131" s="34">
        <f>(C131*1.1238938053)+(-3.9)</f>
        <v>11.94690265473</v>
      </c>
      <c r="K131" s="34">
        <f>(C131*1.07964601769)+(-5.6)</f>
        <v>9.6230088494290005</v>
      </c>
    </row>
    <row r="132" spans="1:11" s="21" customFormat="1" ht="19.95" customHeight="1" x14ac:dyDescent="0.25">
      <c r="A132" s="13" t="str">
        <f>"15607"</f>
        <v>15607</v>
      </c>
      <c r="B132" s="14" t="s">
        <v>482</v>
      </c>
      <c r="C132" s="13" t="str">
        <f>"15.1"</f>
        <v>15.1</v>
      </c>
      <c r="D132" s="32">
        <f>(C132*1.24778761061)+(0.4)</f>
        <v>19.241592920210998</v>
      </c>
      <c r="E132" s="33">
        <f>(C132*1.16814159292)+(-1)</f>
        <v>16.638938053092001</v>
      </c>
      <c r="F132" s="33">
        <f>(C132*1.1238938053)+(-4.4)</f>
        <v>12.570796460030001</v>
      </c>
      <c r="G132" s="33">
        <f>(C132*1.06194690265)+(-5.9)</f>
        <v>10.135398230014998</v>
      </c>
      <c r="H132" s="34">
        <f>(C132*1.19469026548)+(0)</f>
        <v>18.039823008747998</v>
      </c>
      <c r="I132" s="34">
        <f>(C132*1.16814159292)+(-2)</f>
        <v>15.638938053092001</v>
      </c>
      <c r="J132" s="34">
        <f>(C132*1.1238938053)+(-3.9)</f>
        <v>13.070796460030001</v>
      </c>
      <c r="K132" s="34">
        <f>(C132*1.07964601769)+(-5.6)</f>
        <v>10.702654867119</v>
      </c>
    </row>
    <row r="133" spans="1:11" s="21" customFormat="1" ht="19.95" customHeight="1" x14ac:dyDescent="0.25">
      <c r="A133" s="13" t="str">
        <f>"15609"</f>
        <v>15609</v>
      </c>
      <c r="B133" s="14" t="s">
        <v>483</v>
      </c>
      <c r="C133" s="13" t="str">
        <f>"23.9"</f>
        <v>23.9</v>
      </c>
      <c r="D133" s="32">
        <f>(C133*1.24778761061)+(0.4)</f>
        <v>30.222123893578999</v>
      </c>
      <c r="E133" s="33">
        <f>(C133*1.16814159292)+(-1)</f>
        <v>26.918584070788</v>
      </c>
      <c r="F133" s="33">
        <f>(C133*1.1238938053)+(-4.4)</f>
        <v>22.46106194667</v>
      </c>
      <c r="G133" s="33">
        <f>(C133*1.06194690265)+(-5.9)</f>
        <v>19.480530973334993</v>
      </c>
      <c r="H133" s="34">
        <f>(C133*1.19469026548)+(0)</f>
        <v>28.553097344971999</v>
      </c>
      <c r="I133" s="34">
        <f>(C133*1.16814159292)+(-2)</f>
        <v>25.918584070788</v>
      </c>
      <c r="J133" s="34">
        <f>(C133*1.1238938053)+(-3.9)</f>
        <v>22.96106194667</v>
      </c>
      <c r="K133" s="34">
        <f>(C133*1.07964601769)+(-5.6)</f>
        <v>20.203539822791001</v>
      </c>
    </row>
    <row r="134" spans="1:11" s="21" customFormat="1" ht="19.95" customHeight="1" x14ac:dyDescent="0.25">
      <c r="A134" s="13" t="str">
        <f>"15610"</f>
        <v>15610</v>
      </c>
      <c r="B134" s="14" t="s">
        <v>484</v>
      </c>
      <c r="C134" s="13" t="str">
        <f>"24.4"</f>
        <v>24.4</v>
      </c>
      <c r="D134" s="32">
        <f>(C134*1.24778761061)+(0.4)</f>
        <v>30.846017698883998</v>
      </c>
      <c r="E134" s="33">
        <f>(C134*1.16814159292)+(-1)</f>
        <v>27.502654867248001</v>
      </c>
      <c r="F134" s="33">
        <f>(C134*1.1238938053)+(-4.4)</f>
        <v>23.02300884932</v>
      </c>
      <c r="G134" s="33">
        <f>(C134*1.06194690265)+(-5.9)</f>
        <v>20.011504424659996</v>
      </c>
      <c r="H134" s="34">
        <f>(C134*1.19469026548)+(0)</f>
        <v>29.150442477711998</v>
      </c>
      <c r="I134" s="34">
        <f>(C134*1.16814159292)+(-2)</f>
        <v>26.502654867248001</v>
      </c>
      <c r="J134" s="34">
        <f>(C134*1.1238938053)+(-3.9)</f>
        <v>23.52300884932</v>
      </c>
      <c r="K134" s="34">
        <f>(C134*1.07964601769)+(-5.6)</f>
        <v>20.743362831635999</v>
      </c>
    </row>
    <row r="135" spans="1:11" s="21" customFormat="1" ht="19.95" customHeight="1" x14ac:dyDescent="0.25">
      <c r="A135" s="13" t="str">
        <f>"15611"</f>
        <v>15611</v>
      </c>
      <c r="B135" s="14" t="s">
        <v>485</v>
      </c>
      <c r="C135" s="13" t="str">
        <f>"14.7"</f>
        <v>14.7</v>
      </c>
      <c r="D135" s="32">
        <f>(C135*1.24778761061)+(0.4)</f>
        <v>18.742477875966998</v>
      </c>
      <c r="E135" s="33">
        <f>(C135*1.16814159292)+(-1)</f>
        <v>16.171681415923999</v>
      </c>
      <c r="F135" s="33">
        <f>(C135*1.1238938053)+(-4.4)</f>
        <v>12.121238937909999</v>
      </c>
      <c r="G135" s="33">
        <f>(C135*1.06194690265)+(-5.9)</f>
        <v>9.7106194689549969</v>
      </c>
      <c r="H135" s="34">
        <f>(C135*1.19469026548)+(0)</f>
        <v>17.561946902555999</v>
      </c>
      <c r="I135" s="34">
        <f>(C135*1.16814159292)+(-2)</f>
        <v>15.171681415923999</v>
      </c>
      <c r="J135" s="34">
        <f>(C135*1.1238938053)+(-3.9)</f>
        <v>12.621238937909999</v>
      </c>
      <c r="K135" s="34">
        <f>(C135*1.07964601769)+(-5.6)</f>
        <v>10.270796460043</v>
      </c>
    </row>
    <row r="136" spans="1:11" s="21" customFormat="1" ht="19.95" customHeight="1" x14ac:dyDescent="0.25">
      <c r="A136" s="13" t="str">
        <f>"15613"</f>
        <v>15613</v>
      </c>
      <c r="B136" s="14" t="s">
        <v>486</v>
      </c>
      <c r="C136" s="13" t="str">
        <f>"16.9"</f>
        <v>16.9</v>
      </c>
      <c r="D136" s="32">
        <f>(C136*1.24778761061)+(0.4)</f>
        <v>21.487610619308999</v>
      </c>
      <c r="E136" s="33">
        <f>(C136*1.16814159292)+(-1)</f>
        <v>18.741592920348001</v>
      </c>
      <c r="F136" s="33">
        <f>(C136*1.1238938053)+(-4.4)</f>
        <v>14.59380530957</v>
      </c>
      <c r="G136" s="33">
        <f>(C136*1.06194690265)+(-5.9)</f>
        <v>12.046902654784995</v>
      </c>
      <c r="H136" s="34">
        <f>(C136*1.19469026548)+(0)</f>
        <v>20.190265486611999</v>
      </c>
      <c r="I136" s="34">
        <f>(C136*1.16814159292)+(-2)</f>
        <v>17.741592920348001</v>
      </c>
      <c r="J136" s="34">
        <f>(C136*1.1238938053)+(-3.9)</f>
        <v>15.09380530957</v>
      </c>
      <c r="K136" s="34">
        <f>(C136*1.07964601769)+(-5.6)</f>
        <v>12.646017698960998</v>
      </c>
    </row>
    <row r="137" spans="1:11" s="21" customFormat="1" ht="19.95" customHeight="1" x14ac:dyDescent="0.25">
      <c r="A137" s="13" t="str">
        <f>"15614"</f>
        <v>15614</v>
      </c>
      <c r="B137" s="14" t="s">
        <v>487</v>
      </c>
      <c r="C137" s="13" t="str">
        <f>"19.7"</f>
        <v>19.7</v>
      </c>
      <c r="D137" s="32">
        <f>(C137*1.24778761061)+(0.4)</f>
        <v>24.981415929017</v>
      </c>
      <c r="E137" s="33">
        <f>(C137*1.16814159292)+(-1)</f>
        <v>22.012389380524002</v>
      </c>
      <c r="F137" s="33">
        <f>(C137*1.1238938053)+(-4.4)</f>
        <v>17.740707964409999</v>
      </c>
      <c r="G137" s="33">
        <f>(C137*1.06194690265)+(-5.9)</f>
        <v>15.020353982204997</v>
      </c>
      <c r="H137" s="34">
        <f>(C137*1.19469026548)+(0)</f>
        <v>23.535398229955998</v>
      </c>
      <c r="I137" s="34">
        <f>(C137*1.16814159292)+(-2)</f>
        <v>21.012389380524002</v>
      </c>
      <c r="J137" s="34">
        <f>(C137*1.1238938053)+(-3.9)</f>
        <v>18.240707964410003</v>
      </c>
      <c r="K137" s="34">
        <f>(C137*1.07964601769)+(-5.6)</f>
        <v>15.669026548492999</v>
      </c>
    </row>
    <row r="138" spans="1:11" s="21" customFormat="1" ht="19.95" customHeight="1" x14ac:dyDescent="0.25">
      <c r="A138" s="13" t="str">
        <f>"43987"</f>
        <v>43987</v>
      </c>
      <c r="B138" s="14" t="s">
        <v>488</v>
      </c>
      <c r="C138" s="13" t="str">
        <f>"11.6"</f>
        <v>11.6</v>
      </c>
      <c r="D138" s="32">
        <f>(C138*1.24778761061)+(0.4)</f>
        <v>14.874336283076001</v>
      </c>
      <c r="E138" s="33">
        <f>(C138*1.16814159292)+(-1)</f>
        <v>12.550442477872</v>
      </c>
      <c r="F138" s="33">
        <f>(C138*1.1238938053)+(-4.4)</f>
        <v>8.6371681414800001</v>
      </c>
      <c r="G138" s="33">
        <f>(C138*1.06194690265)+(-5.9)</f>
        <v>6.4185840707399979</v>
      </c>
      <c r="H138" s="34">
        <f>(C138*1.19469026548)+(0)</f>
        <v>13.858407079568</v>
      </c>
      <c r="I138" s="34">
        <f>(C138*1.16814159292)+(-2)</f>
        <v>11.550442477872</v>
      </c>
      <c r="J138" s="34">
        <f>(C138*1.1238938053)+(-3.9)</f>
        <v>9.1371681414800001</v>
      </c>
      <c r="K138" s="34">
        <f>(C138*1.07964601769)+(-5.6)</f>
        <v>6.9238938052040009</v>
      </c>
    </row>
    <row r="139" spans="1:11" s="21" customFormat="1" ht="19.95" customHeight="1" x14ac:dyDescent="0.25">
      <c r="A139" s="13" t="str">
        <f>"50132"</f>
        <v>50132</v>
      </c>
      <c r="B139" s="14" t="s">
        <v>489</v>
      </c>
      <c r="C139" s="13" t="str">
        <f>"6.3"</f>
        <v>6.3</v>
      </c>
      <c r="D139" s="32">
        <f>(C139*1.24778761061)+(0.4)</f>
        <v>8.2610619468430002</v>
      </c>
      <c r="E139" s="33">
        <f>(C139*1.16814159292)+(-1)</f>
        <v>6.3592920353960007</v>
      </c>
      <c r="F139" s="33">
        <f>(C139*1.1238938053)+(-4.4)</f>
        <v>2.6805309733899998</v>
      </c>
      <c r="G139" s="33">
        <f>(C139*1.06194690265)+(-5.9)</f>
        <v>0.79026548669499874</v>
      </c>
      <c r="H139" s="34">
        <f>(C139*1.19469026548)+(0)</f>
        <v>7.5265486725240001</v>
      </c>
      <c r="I139" s="34">
        <f>(C139*1.16814159292)+(-2)</f>
        <v>5.3592920353960007</v>
      </c>
      <c r="J139" s="34">
        <f>(C139*1.1238938053)+(-3.9)</f>
        <v>3.1805309733900002</v>
      </c>
      <c r="K139" s="34">
        <f>(C139*1.07964601769)+(-5.6)</f>
        <v>1.2017699114470002</v>
      </c>
    </row>
    <row r="140" spans="1:11" s="21" customFormat="1" ht="19.95" customHeight="1" x14ac:dyDescent="0.25">
      <c r="A140" s="13" t="str">
        <f>"77370"</f>
        <v>77370</v>
      </c>
      <c r="B140" s="14" t="s">
        <v>490</v>
      </c>
      <c r="C140" s="13" t="str">
        <f>"23.7"</f>
        <v>23.7</v>
      </c>
      <c r="D140" s="32">
        <f>(C140*1.24778761061)+(0.4)</f>
        <v>29.972566371456999</v>
      </c>
      <c r="E140" s="33">
        <f>(C140*1.16814159292)+(-1)</f>
        <v>26.684955752204001</v>
      </c>
      <c r="F140" s="33">
        <f>(C140*1.1238938053)+(-4.4)</f>
        <v>22.236283185609999</v>
      </c>
      <c r="G140" s="33">
        <f>(C140*1.06194690265)+(-5.9)</f>
        <v>19.268141592804994</v>
      </c>
      <c r="H140" s="34">
        <f>(C140*1.19469026548)+(0)</f>
        <v>28.314159291875999</v>
      </c>
      <c r="I140" s="34">
        <f>(C140*1.16814159292)+(-2)</f>
        <v>25.684955752204001</v>
      </c>
      <c r="J140" s="34">
        <f>(C140*1.1238938053)+(-3.9)</f>
        <v>22.736283185610002</v>
      </c>
      <c r="K140" s="34">
        <f>(C140*1.07964601769)+(-5.6)</f>
        <v>19.987610619252997</v>
      </c>
    </row>
    <row r="141" spans="1:11" s="21" customFormat="1" ht="19.95" customHeight="1" x14ac:dyDescent="0.25">
      <c r="A141" s="13" t="str">
        <f>"22584"</f>
        <v>22584</v>
      </c>
      <c r="B141" s="14" t="s">
        <v>491</v>
      </c>
      <c r="C141" s="13" t="str">
        <f>"10.4"</f>
        <v>10.4</v>
      </c>
      <c r="D141" s="32">
        <f>(C141*1.24778761061)+(0.4)</f>
        <v>13.376991150344002</v>
      </c>
      <c r="E141" s="33">
        <f>(C141*1.16814159292)+(-1)</f>
        <v>11.148672566368001</v>
      </c>
      <c r="F141" s="33">
        <f>(C141*1.1238938053)+(-4.4)</f>
        <v>7.2884955751200007</v>
      </c>
      <c r="G141" s="33">
        <f>(C141*1.06194690265)+(-5.9)</f>
        <v>5.1442477875599995</v>
      </c>
      <c r="H141" s="34">
        <f>(C141*1.19469026548)+(0)</f>
        <v>12.424778760992</v>
      </c>
      <c r="I141" s="34">
        <f>(C141*1.16814159292)+(-2)</f>
        <v>10.148672566368001</v>
      </c>
      <c r="J141" s="34">
        <f>(C141*1.1238938053)+(-3.9)</f>
        <v>7.7884955751200007</v>
      </c>
      <c r="K141" s="34">
        <f>(C141*1.07964601769)+(-5.6)</f>
        <v>5.6283185839760002</v>
      </c>
    </row>
    <row r="142" spans="1:11" s="21" customFormat="1" ht="19.95" customHeight="1" x14ac:dyDescent="0.25">
      <c r="A142" s="13" t="str">
        <f>"068424"</f>
        <v>068424</v>
      </c>
      <c r="B142" s="14" t="s">
        <v>492</v>
      </c>
      <c r="C142" s="13" t="str">
        <f>"15.9"</f>
        <v>15.9</v>
      </c>
      <c r="D142" s="32">
        <f>(C142*1.24778761061)+(0.4)</f>
        <v>20.239823008699002</v>
      </c>
      <c r="E142" s="33">
        <f>(C142*1.16814159292)+(-1)</f>
        <v>17.573451327428003</v>
      </c>
      <c r="F142" s="33">
        <f>(C142*1.1238938053)+(-4.4)</f>
        <v>13.46991150427</v>
      </c>
      <c r="G142" s="33">
        <f>(C142*1.06194690265)+(-5.9)</f>
        <v>10.984955752134999</v>
      </c>
      <c r="H142" s="34">
        <f>(C142*1.19469026548)+(0)</f>
        <v>18.995575221132</v>
      </c>
      <c r="I142" s="34">
        <f>(C142*1.16814159292)+(-2)</f>
        <v>16.573451327428003</v>
      </c>
      <c r="J142" s="34">
        <f>(C142*1.1238938053)+(-3.9)</f>
        <v>13.96991150427</v>
      </c>
      <c r="K142" s="34">
        <f>(C142*1.07964601769)+(-5.6)</f>
        <v>11.566371681271002</v>
      </c>
    </row>
    <row r="143" spans="1:11" s="21" customFormat="1" ht="19.95" customHeight="1" x14ac:dyDescent="0.25">
      <c r="A143" s="13" t="str">
        <f>"15616"</f>
        <v>15616</v>
      </c>
      <c r="B143" s="14" t="s">
        <v>493</v>
      </c>
      <c r="C143" s="13" t="str">
        <f>"23.3"</f>
        <v>23.3</v>
      </c>
      <c r="D143" s="32">
        <f>(C143*1.24778761061)+(0.4)</f>
        <v>29.473451327213002</v>
      </c>
      <c r="E143" s="33">
        <f>(C143*1.16814159292)+(-1)</f>
        <v>26.217699115036002</v>
      </c>
      <c r="F143" s="33">
        <f>(C143*1.1238938053)+(-4.4)</f>
        <v>21.786725663490003</v>
      </c>
      <c r="G143" s="33">
        <f>(C143*1.06194690265)+(-5.9)</f>
        <v>18.843362831744997</v>
      </c>
      <c r="H143" s="34">
        <f>(C143*1.19469026548)+(0)</f>
        <v>27.836283185684</v>
      </c>
      <c r="I143" s="34">
        <f>(C143*1.16814159292)+(-2)</f>
        <v>25.217699115036002</v>
      </c>
      <c r="J143" s="34">
        <f>(C143*1.1238938053)+(-3.9)</f>
        <v>22.286725663490003</v>
      </c>
      <c r="K143" s="34">
        <f>(C143*1.07964601769)+(-5.6)</f>
        <v>19.555752212177005</v>
      </c>
    </row>
    <row r="144" spans="1:11" s="21" customFormat="1" ht="19.95" customHeight="1" x14ac:dyDescent="0.25">
      <c r="A144" s="13" t="str">
        <f>"15618"</f>
        <v>15618</v>
      </c>
      <c r="B144" s="14" t="s">
        <v>494</v>
      </c>
      <c r="C144" s="13" t="str">
        <f>"27.3"</f>
        <v>27.3</v>
      </c>
      <c r="D144" s="32">
        <f>(C144*1.24778761061)+(0.4)</f>
        <v>34.464601769653001</v>
      </c>
      <c r="E144" s="33">
        <f>(C144*1.16814159292)+(-1)</f>
        <v>30.890265486716004</v>
      </c>
      <c r="F144" s="33">
        <f>(C144*1.1238938053)+(-4.4)</f>
        <v>26.282300884690002</v>
      </c>
      <c r="G144" s="33">
        <f>(C144*1.06194690265)+(-5.9)</f>
        <v>23.091150442344997</v>
      </c>
      <c r="H144" s="34">
        <f>(C144*1.19469026548)+(0)</f>
        <v>32.615044247604004</v>
      </c>
      <c r="I144" s="34">
        <f>(C144*1.16814159292)+(-2)</f>
        <v>29.890265486716004</v>
      </c>
      <c r="J144" s="34">
        <f>(C144*1.1238938053)+(-3.9)</f>
        <v>26.782300884690002</v>
      </c>
      <c r="K144" s="34">
        <f>(C144*1.07964601769)+(-5.6)</f>
        <v>23.874336282937001</v>
      </c>
    </row>
    <row r="145" spans="1:11" s="21" customFormat="1" ht="19.95" customHeight="1" x14ac:dyDescent="0.25">
      <c r="A145" s="13" t="str">
        <f>"15619"</f>
        <v>15619</v>
      </c>
      <c r="B145" s="14" t="s">
        <v>495</v>
      </c>
      <c r="C145" s="13" t="str">
        <f>"9.0"</f>
        <v>9.0</v>
      </c>
      <c r="D145" s="32">
        <f>(C145*1.24778761061)+(0.4)</f>
        <v>11.630088495490002</v>
      </c>
      <c r="E145" s="33">
        <f>(C145*1.16814159292)+(-1)</f>
        <v>9.5132743362800003</v>
      </c>
      <c r="F145" s="33">
        <f>(C145*1.1238938053)+(-4.4)</f>
        <v>5.7150442476999999</v>
      </c>
      <c r="G145" s="33">
        <f>(C145*1.06194690265)+(-5.9)</f>
        <v>3.6575221238499989</v>
      </c>
      <c r="H145" s="34">
        <f>(C145*1.19469026548)+(0)</f>
        <v>10.75221238932</v>
      </c>
      <c r="I145" s="34">
        <f>(C145*1.16814159292)+(-2)</f>
        <v>8.5132743362800003</v>
      </c>
      <c r="J145" s="34">
        <f>(C145*1.1238938053)+(-3.9)</f>
        <v>6.2150442476999999</v>
      </c>
      <c r="K145" s="34">
        <f>(C145*1.07964601769)+(-5.6)</f>
        <v>4.1168141592099996</v>
      </c>
    </row>
    <row r="146" spans="1:11" s="21" customFormat="1" ht="19.95" customHeight="1" x14ac:dyDescent="0.25">
      <c r="A146" s="13" t="str">
        <f>"47898"</f>
        <v>47898</v>
      </c>
      <c r="B146" s="14" t="s">
        <v>496</v>
      </c>
      <c r="C146" s="13" t="str">
        <f>"19.6"</f>
        <v>19.6</v>
      </c>
      <c r="D146" s="32">
        <f>(C146*1.24778761061)+(0.4)</f>
        <v>24.856637167956002</v>
      </c>
      <c r="E146" s="33">
        <f>(C146*1.16814159292)+(-1)</f>
        <v>21.895575221232004</v>
      </c>
      <c r="F146" s="33">
        <f>(C146*1.1238938053)+(-4.4)</f>
        <v>17.628318583880002</v>
      </c>
      <c r="G146" s="33">
        <f>(C146*1.06194690265)+(-5.9)</f>
        <v>14.914159291940001</v>
      </c>
      <c r="H146" s="34">
        <f>(C146*1.19469026548)+(0)</f>
        <v>23.415929203408002</v>
      </c>
      <c r="I146" s="34">
        <f>(C146*1.16814159292)+(-2)</f>
        <v>20.895575221232004</v>
      </c>
      <c r="J146" s="34">
        <f>(C146*1.1238938053)+(-3.9)</f>
        <v>18.128318583880002</v>
      </c>
      <c r="K146" s="34">
        <f>(C146*1.07964601769)+(-5.6)</f>
        <v>15.561061946724001</v>
      </c>
    </row>
    <row r="147" spans="1:11" s="21" customFormat="1" ht="19.95" customHeight="1" x14ac:dyDescent="0.25">
      <c r="A147" s="13" t="str">
        <f>"47899"</f>
        <v>47899</v>
      </c>
      <c r="B147" s="14" t="s">
        <v>497</v>
      </c>
      <c r="C147" s="13" t="str">
        <f>"10.7"</f>
        <v>10.7</v>
      </c>
      <c r="D147" s="32">
        <f>(C147*1.24778761061)+(0.4)</f>
        <v>13.751327433527001</v>
      </c>
      <c r="E147" s="33">
        <f>(C147*1.16814159292)+(-1)</f>
        <v>11.499115044244</v>
      </c>
      <c r="F147" s="33">
        <f>(C147*1.1238938053)+(-4.4)</f>
        <v>7.6256637167099992</v>
      </c>
      <c r="G147" s="33">
        <f>(C147*1.06194690265)+(-5.9)</f>
        <v>5.4628318583549973</v>
      </c>
      <c r="H147" s="34">
        <f>(C147*1.19469026548)+(0)</f>
        <v>12.783185840635999</v>
      </c>
      <c r="I147" s="34">
        <f>(C147*1.16814159292)+(-2)</f>
        <v>10.499115044244</v>
      </c>
      <c r="J147" s="34">
        <f>(C147*1.1238938053)+(-3.9)</f>
        <v>8.1256637167099992</v>
      </c>
      <c r="K147" s="34">
        <f>(C147*1.07964601769)+(-5.6)</f>
        <v>5.9522123892829999</v>
      </c>
    </row>
    <row r="148" spans="1:11" s="21" customFormat="1" ht="19.95" customHeight="1" x14ac:dyDescent="0.25">
      <c r="A148" s="13" t="str">
        <f>"337"</f>
        <v>337</v>
      </c>
      <c r="B148" s="14" t="s">
        <v>498</v>
      </c>
      <c r="C148" s="13" t="str">
        <f>"29.6"</f>
        <v>29.6</v>
      </c>
      <c r="D148" s="32">
        <f>(C148*1.24778761061)+(0.4)</f>
        <v>37.334513274056</v>
      </c>
      <c r="E148" s="33">
        <f>(C148*1.16814159292)+(-1)</f>
        <v>33.576991150432001</v>
      </c>
      <c r="F148" s="33">
        <f>(C148*1.1238938053)+(-4.4)</f>
        <v>28.867256636880008</v>
      </c>
      <c r="G148" s="33">
        <f>(C148*1.06194690265)+(-5.9)</f>
        <v>25.533628318440002</v>
      </c>
      <c r="H148" s="34">
        <f>(C148*1.19469026548)+(0)</f>
        <v>35.362831858208004</v>
      </c>
      <c r="I148" s="34">
        <f>(C148*1.16814159292)+(-2)</f>
        <v>32.576991150432001</v>
      </c>
      <c r="J148" s="34">
        <f>(C148*1.1238938053)+(-3.9)</f>
        <v>29.367256636880008</v>
      </c>
      <c r="K148" s="34">
        <f>(C148*1.07964601769)+(-5.6)</f>
        <v>26.357522123624001</v>
      </c>
    </row>
    <row r="149" spans="1:11" s="21" customFormat="1" ht="19.95" customHeight="1" x14ac:dyDescent="0.25">
      <c r="A149" s="13" t="str">
        <f>"71736"</f>
        <v>71736</v>
      </c>
      <c r="B149" s="14" t="s">
        <v>499</v>
      </c>
      <c r="C149" s="13" t="str">
        <f>"24.3"</f>
        <v>24.3</v>
      </c>
      <c r="D149" s="32">
        <f>(C149*1.24778761061)+(0.4)</f>
        <v>30.721238937823003</v>
      </c>
      <c r="E149" s="33">
        <f>(C149*1.16814159292)+(-1)</f>
        <v>27.385840707956003</v>
      </c>
      <c r="F149" s="33">
        <f>(C149*1.1238938053)+(-4.4)</f>
        <v>22.910619468790003</v>
      </c>
      <c r="G149" s="33">
        <f>(C149*1.06194690265)+(-5.9)</f>
        <v>19.905309734394997</v>
      </c>
      <c r="H149" s="34">
        <f>(C149*1.19469026548)+(0)</f>
        <v>29.030973451164002</v>
      </c>
      <c r="I149" s="34">
        <f>(C149*1.16814159292)+(-2)</f>
        <v>26.385840707956003</v>
      </c>
      <c r="J149" s="34">
        <f>(C149*1.1238938053)+(-3.9)</f>
        <v>23.410619468790003</v>
      </c>
      <c r="K149" s="34">
        <f>(C149*1.07964601769)+(-5.6)</f>
        <v>20.635398229867</v>
      </c>
    </row>
    <row r="150" spans="1:11" s="21" customFormat="1" ht="19.95" customHeight="1" x14ac:dyDescent="0.25">
      <c r="A150" s="13" t="str">
        <f>"68624"</f>
        <v>68624</v>
      </c>
      <c r="B150" s="14" t="s">
        <v>500</v>
      </c>
      <c r="C150" s="13" t="str">
        <f>"22.9"</f>
        <v>22.9</v>
      </c>
      <c r="D150" s="32">
        <f>(C150*1.24778761061)+(0.4)</f>
        <v>28.974336282968999</v>
      </c>
      <c r="E150" s="33">
        <f>(C150*1.16814159292)+(-1)</f>
        <v>25.750442477867999</v>
      </c>
      <c r="F150" s="33">
        <f>(C150*1.1238938053)+(-4.4)</f>
        <v>21.33716814137</v>
      </c>
      <c r="G150" s="33">
        <f>(C150*1.06194690265)+(-5.9)</f>
        <v>18.418584070684993</v>
      </c>
      <c r="H150" s="34">
        <f>(C150*1.19469026548)+(0)</f>
        <v>27.358407079492</v>
      </c>
      <c r="I150" s="34">
        <f>(C150*1.16814159292)+(-2)</f>
        <v>24.750442477867999</v>
      </c>
      <c r="J150" s="34">
        <f>(C150*1.1238938053)+(-3.9)</f>
        <v>21.83716814137</v>
      </c>
      <c r="K150" s="34">
        <f>(C150*1.07964601769)+(-5.6)</f>
        <v>19.123893805100998</v>
      </c>
    </row>
    <row r="151" spans="1:11" s="21" customFormat="1" ht="19.95" customHeight="1" x14ac:dyDescent="0.25">
      <c r="A151" s="13" t="str">
        <f>"15625"</f>
        <v>15625</v>
      </c>
      <c r="B151" s="14" t="s">
        <v>501</v>
      </c>
      <c r="C151" s="13" t="str">
        <f>"25.0"</f>
        <v>25.0</v>
      </c>
      <c r="D151" s="32">
        <f>(C151*1.24778761061)+(0.4)</f>
        <v>31.594690265250001</v>
      </c>
      <c r="E151" s="33">
        <f>(C151*1.16814159292)+(-1)</f>
        <v>28.203539823000003</v>
      </c>
      <c r="F151" s="33">
        <f>(C151*1.1238938053)+(-4.4)</f>
        <v>23.697345132500004</v>
      </c>
      <c r="G151" s="33">
        <f>(C151*1.06194690265)+(-5.9)</f>
        <v>20.648672566249999</v>
      </c>
      <c r="H151" s="34">
        <f>(C151*1.19469026548)+(0)</f>
        <v>29.867256637000001</v>
      </c>
      <c r="I151" s="34">
        <f>(C151*1.16814159292)+(-2)</f>
        <v>27.203539823000003</v>
      </c>
      <c r="J151" s="34">
        <f>(C151*1.1238938053)+(-3.9)</f>
        <v>24.197345132500004</v>
      </c>
      <c r="K151" s="34">
        <f>(C151*1.07964601769)+(-5.6)</f>
        <v>21.391150442250002</v>
      </c>
    </row>
    <row r="152" spans="1:11" s="21" customFormat="1" ht="19.95" customHeight="1" x14ac:dyDescent="0.25">
      <c r="A152" s="13" t="str">
        <f>"740"</f>
        <v>740</v>
      </c>
      <c r="B152" s="14" t="s">
        <v>502</v>
      </c>
      <c r="C152" s="13" t="str">
        <f>"16.1"</f>
        <v>16.1</v>
      </c>
      <c r="D152" s="32">
        <f>(C152*1.24778761061)+(0.4)</f>
        <v>20.489380530821002</v>
      </c>
      <c r="E152" s="33">
        <f>(C152*1.16814159292)+(-1)</f>
        <v>17.807079646012003</v>
      </c>
      <c r="F152" s="33">
        <f>(C152*1.1238938053)+(-4.4)</f>
        <v>13.694690265330001</v>
      </c>
      <c r="G152" s="33">
        <f>(C152*1.06194690265)+(-5.9)</f>
        <v>11.197345132665001</v>
      </c>
      <c r="H152" s="34">
        <f>(C152*1.19469026548)+(0)</f>
        <v>19.234513274228004</v>
      </c>
      <c r="I152" s="34">
        <f>(C152*1.16814159292)+(-2)</f>
        <v>16.807079646012003</v>
      </c>
      <c r="J152" s="34">
        <f>(C152*1.1238938053)+(-3.9)</f>
        <v>14.194690265330001</v>
      </c>
      <c r="K152" s="34">
        <f>(C152*1.07964601769)+(-5.6)</f>
        <v>11.782300884809002</v>
      </c>
    </row>
    <row r="153" spans="1:11" s="21" customFormat="1" ht="19.95" customHeight="1" x14ac:dyDescent="0.25">
      <c r="A153" s="13" t="str">
        <f>"15626"</f>
        <v>15626</v>
      </c>
      <c r="B153" s="14" t="s">
        <v>503</v>
      </c>
      <c r="C153" s="13" t="str">
        <f>"25.7"</f>
        <v>25.7</v>
      </c>
      <c r="D153" s="32">
        <f>(C153*1.24778761061)+(0.4)</f>
        <v>32.468141592677</v>
      </c>
      <c r="E153" s="33">
        <f>(C153*1.16814159292)+(-1)</f>
        <v>29.021238938044</v>
      </c>
      <c r="F153" s="33">
        <f>(C153*1.1238938053)+(-4.4)</f>
        <v>24.484070796209998</v>
      </c>
      <c r="G153" s="33">
        <f>(C153*1.06194690265)+(-5.9)</f>
        <v>21.392035398104994</v>
      </c>
      <c r="H153" s="34">
        <f>(C153*1.19469026548)+(0)</f>
        <v>30.703539822835999</v>
      </c>
      <c r="I153" s="34">
        <f>(C153*1.16814159292)+(-2)</f>
        <v>28.021238938044</v>
      </c>
      <c r="J153" s="34">
        <f>(C153*1.1238938053)+(-3.9)</f>
        <v>24.984070796210002</v>
      </c>
      <c r="K153" s="34">
        <f>(C153*1.07964601769)+(-5.6)</f>
        <v>22.146902654633003</v>
      </c>
    </row>
    <row r="154" spans="1:11" s="21" customFormat="1" ht="19.95" customHeight="1" x14ac:dyDescent="0.25">
      <c r="A154" s="13" t="str">
        <f>"15628"</f>
        <v>15628</v>
      </c>
      <c r="B154" s="14" t="s">
        <v>504</v>
      </c>
      <c r="C154" s="13" t="str">
        <f>"12.8"</f>
        <v>12.8</v>
      </c>
      <c r="D154" s="32">
        <f>(C154*1.24778761061)+(0.4)</f>
        <v>16.371681415808002</v>
      </c>
      <c r="E154" s="33">
        <f>(C154*1.16814159292)+(-1)</f>
        <v>13.952212389376001</v>
      </c>
      <c r="F154" s="33">
        <f>(C154*1.1238938053)+(-4.4)</f>
        <v>9.9858407078400013</v>
      </c>
      <c r="G154" s="33">
        <f>(C154*1.06194690265)+(-5.9)</f>
        <v>7.69292035392</v>
      </c>
      <c r="H154" s="34">
        <f>(C154*1.19469026548)+(0)</f>
        <v>15.292035398144002</v>
      </c>
      <c r="I154" s="34">
        <f>(C154*1.16814159292)+(-2)</f>
        <v>12.952212389376001</v>
      </c>
      <c r="J154" s="34">
        <f>(C154*1.1238938053)+(-3.9)</f>
        <v>10.485840707840001</v>
      </c>
      <c r="K154" s="34">
        <f>(C154*1.07964601769)+(-5.6)</f>
        <v>8.2194690264320016</v>
      </c>
    </row>
    <row r="155" spans="1:11" s="21" customFormat="1" ht="19.95" customHeight="1" x14ac:dyDescent="0.25">
      <c r="A155" s="13" t="str">
        <f>"46490"</f>
        <v>46490</v>
      </c>
      <c r="B155" s="14" t="s">
        <v>505</v>
      </c>
      <c r="C155" s="13" t="str">
        <f>"14.6"</f>
        <v>14.6</v>
      </c>
      <c r="D155" s="32">
        <f>(C155*1.24778761061)+(0.4)</f>
        <v>18.617699114905999</v>
      </c>
      <c r="E155" s="33">
        <f>(C155*1.16814159292)+(-1)</f>
        <v>16.054867256632001</v>
      </c>
      <c r="F155" s="33">
        <f>(C155*1.1238938053)+(-4.4)</f>
        <v>12.008849557380001</v>
      </c>
      <c r="G155" s="33">
        <f>(C155*1.06194690265)+(-5.9)</f>
        <v>9.6044247786899977</v>
      </c>
      <c r="H155" s="34">
        <f>(C155*1.19469026548)+(0)</f>
        <v>17.442477876007999</v>
      </c>
      <c r="I155" s="34">
        <f>(C155*1.16814159292)+(-2)</f>
        <v>15.054867256632001</v>
      </c>
      <c r="J155" s="34">
        <f>(C155*1.1238938053)+(-3.9)</f>
        <v>12.508849557380001</v>
      </c>
      <c r="K155" s="34">
        <f>(C155*1.07964601769)+(-5.6)</f>
        <v>10.162831858274</v>
      </c>
    </row>
    <row r="156" spans="1:11" s="21" customFormat="1" ht="19.95" customHeight="1" x14ac:dyDescent="0.25">
      <c r="A156" s="13" t="str">
        <f>"15631"</f>
        <v>15631</v>
      </c>
      <c r="B156" s="14" t="s">
        <v>506</v>
      </c>
      <c r="C156" s="13" t="str">
        <f>"21.3"</f>
        <v>21.3</v>
      </c>
      <c r="D156" s="32">
        <f>(C156*1.24778761061)+(0.4)</f>
        <v>26.977876105993001</v>
      </c>
      <c r="E156" s="33">
        <f>(C156*1.16814159292)+(-1)</f>
        <v>23.881415929196002</v>
      </c>
      <c r="F156" s="33">
        <f>(C156*1.1238938053)+(-4.4)</f>
        <v>19.538938052890003</v>
      </c>
      <c r="G156" s="33">
        <f>(C156*1.06194690265)+(-5.9)</f>
        <v>16.719469026444997</v>
      </c>
      <c r="H156" s="34">
        <f>(C156*1.19469026548)+(0)</f>
        <v>25.446902654724003</v>
      </c>
      <c r="I156" s="34">
        <f>(C156*1.16814159292)+(-2)</f>
        <v>22.881415929196002</v>
      </c>
      <c r="J156" s="34">
        <f>(C156*1.1238938053)+(-3.9)</f>
        <v>20.038938052890003</v>
      </c>
      <c r="K156" s="34">
        <f>(C156*1.07964601769)+(-5.6)</f>
        <v>17.396460176797</v>
      </c>
    </row>
    <row r="157" spans="1:11" s="21" customFormat="1" ht="19.95" customHeight="1" x14ac:dyDescent="0.25">
      <c r="A157" s="13" t="str">
        <f>"24283"</f>
        <v>24283</v>
      </c>
      <c r="B157" s="14" t="s">
        <v>507</v>
      </c>
      <c r="C157" s="13" t="str">
        <f>"13.3"</f>
        <v>13.3</v>
      </c>
      <c r="D157" s="32">
        <f>(C157*1.24778761061)+(0.4)</f>
        <v>16.995575221113</v>
      </c>
      <c r="E157" s="33">
        <f>(C157*1.16814159292)+(-1)</f>
        <v>14.536283185836002</v>
      </c>
      <c r="F157" s="33">
        <f>(C157*1.1238938053)+(-4.4)</f>
        <v>10.547787610490001</v>
      </c>
      <c r="G157" s="33">
        <f>(C157*1.06194690265)+(-5.9)</f>
        <v>8.2238938052449999</v>
      </c>
      <c r="H157" s="34">
        <f>(C157*1.19469026548)+(0)</f>
        <v>15.889380530884001</v>
      </c>
      <c r="I157" s="34">
        <f>(C157*1.16814159292)+(-2)</f>
        <v>13.536283185836002</v>
      </c>
      <c r="J157" s="34">
        <f>(C157*1.1238938053)+(-3.9)</f>
        <v>11.047787610490001</v>
      </c>
      <c r="K157" s="34">
        <f>(C157*1.07964601769)+(-5.6)</f>
        <v>8.7592920352770012</v>
      </c>
    </row>
    <row r="158" spans="1:11" s="21" customFormat="1" ht="19.95" customHeight="1" x14ac:dyDescent="0.25">
      <c r="A158" s="13" t="str">
        <f>"15634"</f>
        <v>15634</v>
      </c>
      <c r="B158" s="14" t="s">
        <v>508</v>
      </c>
      <c r="C158" s="13" t="str">
        <f>"21.3"</f>
        <v>21.3</v>
      </c>
      <c r="D158" s="32">
        <f>(C158*1.24778761061)+(0.4)</f>
        <v>26.977876105993001</v>
      </c>
      <c r="E158" s="33">
        <f>(C158*1.16814159292)+(-1)</f>
        <v>23.881415929196002</v>
      </c>
      <c r="F158" s="33">
        <f>(C158*1.1238938053)+(-4.4)</f>
        <v>19.538938052890003</v>
      </c>
      <c r="G158" s="33">
        <f>(C158*1.06194690265)+(-5.9)</f>
        <v>16.719469026444997</v>
      </c>
      <c r="H158" s="34">
        <f>(C158*1.19469026548)+(0)</f>
        <v>25.446902654724003</v>
      </c>
      <c r="I158" s="34">
        <f>(C158*1.16814159292)+(-2)</f>
        <v>22.881415929196002</v>
      </c>
      <c r="J158" s="34">
        <f>(C158*1.1238938053)+(-3.9)</f>
        <v>20.038938052890003</v>
      </c>
      <c r="K158" s="34">
        <f>(C158*1.07964601769)+(-5.6)</f>
        <v>17.396460176797</v>
      </c>
    </row>
    <row r="159" spans="1:11" s="21" customFormat="1" ht="19.95" customHeight="1" x14ac:dyDescent="0.25">
      <c r="A159" s="13" t="str">
        <f>"1006410"</f>
        <v>1006410</v>
      </c>
      <c r="B159" s="14" t="s">
        <v>509</v>
      </c>
      <c r="C159" s="13" t="str">
        <f>"16.5"</f>
        <v>16.5</v>
      </c>
      <c r="D159" s="32">
        <f>(C159*1.24778761061)+(0.4)</f>
        <v>20.988495575064999</v>
      </c>
      <c r="E159" s="33">
        <f>(C159*1.16814159292)+(-1)</f>
        <v>18.274336283180002</v>
      </c>
      <c r="F159" s="33">
        <f>(C159*1.1238938053)+(-4.4)</f>
        <v>14.14424778745</v>
      </c>
      <c r="G159" s="33">
        <f>(C159*1.06194690265)+(-5.9)</f>
        <v>11.622123893724998</v>
      </c>
      <c r="H159" s="34">
        <f>(C159*1.19469026548)+(0)</f>
        <v>19.712389380419999</v>
      </c>
      <c r="I159" s="34">
        <f>(C159*1.16814159292)+(-2)</f>
        <v>17.274336283180002</v>
      </c>
      <c r="J159" s="34">
        <f>(C159*1.1238938053)+(-3.9)</f>
        <v>14.64424778745</v>
      </c>
      <c r="K159" s="34">
        <f>(C159*1.07964601769)+(-5.6)</f>
        <v>12.214159291885002</v>
      </c>
    </row>
    <row r="160" spans="1:11" s="21" customFormat="1" ht="19.95" customHeight="1" x14ac:dyDescent="0.25">
      <c r="A160" s="13" t="str">
        <f>"47323"</f>
        <v>47323</v>
      </c>
      <c r="B160" s="14" t="s">
        <v>510</v>
      </c>
      <c r="C160" s="13" t="str">
        <f>"29.4"</f>
        <v>29.4</v>
      </c>
      <c r="D160" s="32">
        <f>(C160*1.24778761061)+(0.4)</f>
        <v>37.084955751933997</v>
      </c>
      <c r="E160" s="33">
        <f>(C160*1.16814159292)+(-1)</f>
        <v>33.343362831847998</v>
      </c>
      <c r="F160" s="33">
        <f>(C160*1.1238938053)+(-4.4)</f>
        <v>28.642477875819999</v>
      </c>
      <c r="G160" s="33">
        <f>(C160*1.06194690265)+(-5.9)</f>
        <v>25.321238937909996</v>
      </c>
      <c r="H160" s="34">
        <f>(C160*1.19469026548)+(0)</f>
        <v>35.123893805111997</v>
      </c>
      <c r="I160" s="34">
        <f>(C160*1.16814159292)+(-2)</f>
        <v>32.343362831847998</v>
      </c>
      <c r="J160" s="34">
        <f>(C160*1.1238938053)+(-3.9)</f>
        <v>29.142477875819999</v>
      </c>
      <c r="K160" s="34">
        <f>(C160*1.07964601769)+(-5.6)</f>
        <v>26.141592920085998</v>
      </c>
    </row>
    <row r="161" spans="1:11" s="21" customFormat="1" ht="19.95" customHeight="1" x14ac:dyDescent="0.25">
      <c r="A161" s="13" t="str">
        <f>"29300"</f>
        <v>29300</v>
      </c>
      <c r="B161" s="14" t="s">
        <v>511</v>
      </c>
      <c r="C161" s="13" t="str">
        <f>"20.4"</f>
        <v>20.4</v>
      </c>
      <c r="D161" s="32">
        <f>(C161*1.24778761061)+(0.4)</f>
        <v>25.854867256443999</v>
      </c>
      <c r="E161" s="33">
        <f>(C161*1.16814159292)+(-1)</f>
        <v>22.830088495567999</v>
      </c>
      <c r="F161" s="33">
        <f>(C161*1.1238938053)+(-4.4)</f>
        <v>18.527433628120001</v>
      </c>
      <c r="G161" s="33">
        <f>(C161*1.06194690265)+(-5.9)</f>
        <v>15.763716814059995</v>
      </c>
      <c r="H161" s="34">
        <f>(C161*1.19469026548)+(0)</f>
        <v>24.371681415791997</v>
      </c>
      <c r="I161" s="34">
        <f>(C161*1.16814159292)+(-2)</f>
        <v>21.830088495567999</v>
      </c>
      <c r="J161" s="34">
        <f>(C161*1.1238938053)+(-3.9)</f>
        <v>19.027433628120001</v>
      </c>
      <c r="K161" s="34">
        <f>(C161*1.07964601769)+(-5.6)</f>
        <v>16.424778760876002</v>
      </c>
    </row>
    <row r="162" spans="1:11" s="21" customFormat="1" ht="19.95" customHeight="1" x14ac:dyDescent="0.25">
      <c r="A162" s="13" t="str">
        <f>"15641"</f>
        <v>15641</v>
      </c>
      <c r="B162" s="14" t="s">
        <v>512</v>
      </c>
      <c r="C162" s="13" t="str">
        <f>"19.3"</f>
        <v>19.3</v>
      </c>
      <c r="D162" s="32">
        <f>(C162*1.24778761061)+(0.4)</f>
        <v>24.482300884773</v>
      </c>
      <c r="E162" s="33">
        <f>(C162*1.16814159292)+(-1)</f>
        <v>21.545132743356003</v>
      </c>
      <c r="F162" s="33">
        <f>(C162*1.1238938053)+(-4.4)</f>
        <v>17.291150442290004</v>
      </c>
      <c r="G162" s="33">
        <f>(C162*1.06194690265)+(-5.9)</f>
        <v>14.595575221144999</v>
      </c>
      <c r="H162" s="34">
        <f>(C162*1.19469026548)+(0)</f>
        <v>23.057522123764002</v>
      </c>
      <c r="I162" s="34">
        <f>(C162*1.16814159292)+(-2)</f>
        <v>20.545132743356003</v>
      </c>
      <c r="J162" s="34">
        <f>(C162*1.1238938053)+(-3.9)</f>
        <v>17.791150442290004</v>
      </c>
      <c r="K162" s="34">
        <f>(C162*1.07964601769)+(-5.6)</f>
        <v>15.237168141417003</v>
      </c>
    </row>
    <row r="163" spans="1:11" s="21" customFormat="1" ht="19.95" customHeight="1" x14ac:dyDescent="0.25">
      <c r="A163" s="13" t="str">
        <f>"15643"</f>
        <v>15643</v>
      </c>
      <c r="B163" s="14" t="s">
        <v>513</v>
      </c>
      <c r="C163" s="13" t="str">
        <f>"11.1"</f>
        <v>11.1</v>
      </c>
      <c r="D163" s="32">
        <f>(C163*1.24778761061)+(0.4)</f>
        <v>14.250442477771001</v>
      </c>
      <c r="E163" s="33">
        <f>(C163*1.16814159292)+(-1)</f>
        <v>11.966371681412001</v>
      </c>
      <c r="F163" s="33">
        <f>(C163*1.1238938053)+(-4.4)</f>
        <v>8.0752212388300002</v>
      </c>
      <c r="G163" s="33">
        <f>(C163*1.06194690265)+(-5.9)</f>
        <v>5.887610619414998</v>
      </c>
      <c r="H163" s="34">
        <f>(C163*1.19469026548)+(0)</f>
        <v>13.261061946827999</v>
      </c>
      <c r="I163" s="34">
        <f>(C163*1.16814159292)+(-2)</f>
        <v>10.966371681412001</v>
      </c>
      <c r="J163" s="34">
        <f>(C163*1.1238938053)+(-3.9)</f>
        <v>8.5752212388300002</v>
      </c>
      <c r="K163" s="34">
        <f>(C163*1.07964601769)+(-5.6)</f>
        <v>6.3840707963589995</v>
      </c>
    </row>
    <row r="164" spans="1:11" s="21" customFormat="1" ht="19.95" customHeight="1" x14ac:dyDescent="0.25">
      <c r="A164" s="13" t="str">
        <f>"77291"</f>
        <v>77291</v>
      </c>
      <c r="B164" s="14" t="s">
        <v>514</v>
      </c>
      <c r="C164" s="13" t="str">
        <f>"11.3"</f>
        <v>11.3</v>
      </c>
      <c r="D164" s="32">
        <f>(C164*1.24778761061)+(0.4)</f>
        <v>14.499999999893003</v>
      </c>
      <c r="E164" s="33">
        <f>(C164*1.16814159292)+(-1)</f>
        <v>12.199999999996002</v>
      </c>
      <c r="F164" s="33">
        <f>(C164*1.1238938053)+(-4.4)</f>
        <v>8.2999999998900016</v>
      </c>
      <c r="G164" s="33">
        <f>(C164*1.06194690265)+(-5.9)</f>
        <v>6.0999999999450001</v>
      </c>
      <c r="H164" s="34">
        <f>(C164*1.19469026548)+(0)</f>
        <v>13.499999999924</v>
      </c>
      <c r="I164" s="34">
        <f>(C164*1.16814159292)+(-2)</f>
        <v>11.199999999996002</v>
      </c>
      <c r="J164" s="34">
        <f>(C164*1.1238938053)+(-3.9)</f>
        <v>8.7999999998900016</v>
      </c>
      <c r="K164" s="34">
        <f>(C164*1.07964601769)+(-5.6)</f>
        <v>6.5999999998970011</v>
      </c>
    </row>
    <row r="165" spans="1:11" s="21" customFormat="1" ht="19.95" customHeight="1" x14ac:dyDescent="0.25">
      <c r="A165" s="13" t="str">
        <f>"8750"</f>
        <v>8750</v>
      </c>
      <c r="B165" s="14" t="s">
        <v>515</v>
      </c>
      <c r="C165" s="13" t="str">
        <f>"5.4"</f>
        <v>5.4</v>
      </c>
      <c r="D165" s="32">
        <f>(C165*1.24778761061)+(0.4)</f>
        <v>7.1380530972940015</v>
      </c>
      <c r="E165" s="33">
        <f>(C165*1.16814159292)+(-1)</f>
        <v>5.3079646017680009</v>
      </c>
      <c r="F165" s="33">
        <f>(C165*1.1238938053)+(-4.4)</f>
        <v>1.6690265486200007</v>
      </c>
      <c r="G165" s="33">
        <f>(C165*1.06194690265)+(-5.9)</f>
        <v>-0.16548672569000011</v>
      </c>
      <c r="H165" s="34">
        <f>(C165*1.19469026548)+(0)</f>
        <v>6.4513274335920006</v>
      </c>
      <c r="I165" s="34">
        <f>(C165*1.16814159292)+(-2)</f>
        <v>4.3079646017680009</v>
      </c>
      <c r="J165" s="34">
        <f>(C165*1.1238938053)+(-3.9)</f>
        <v>2.1690265486200011</v>
      </c>
      <c r="K165" s="34">
        <f>(C165*1.07964601769)+(-5.6)</f>
        <v>0.23008849552600097</v>
      </c>
    </row>
    <row r="166" spans="1:11" s="21" customFormat="1" ht="19.95" customHeight="1" x14ac:dyDescent="0.25">
      <c r="A166" s="13" t="str">
        <f>"68128"</f>
        <v>68128</v>
      </c>
      <c r="B166" s="14" t="s">
        <v>516</v>
      </c>
      <c r="C166" s="13" t="str">
        <f>"18.5"</f>
        <v>18.5</v>
      </c>
      <c r="D166" s="32">
        <f>(C166*1.24778761061)+(0.4)</f>
        <v>23.484070796285</v>
      </c>
      <c r="E166" s="33">
        <f>(C166*1.16814159292)+(-1)</f>
        <v>20.610619469020001</v>
      </c>
      <c r="F166" s="33">
        <f>(C166*1.1238938053)+(-4.4)</f>
        <v>16.392035398049998</v>
      </c>
      <c r="G166" s="33">
        <f>(C166*1.06194690265)+(-5.9)</f>
        <v>13.746017699024998</v>
      </c>
      <c r="H166" s="34">
        <f>(C166*1.19469026548)+(0)</f>
        <v>22.10176991138</v>
      </c>
      <c r="I166" s="34">
        <f>(C166*1.16814159292)+(-2)</f>
        <v>19.610619469020001</v>
      </c>
      <c r="J166" s="34">
        <f>(C166*1.1238938053)+(-3.9)</f>
        <v>16.892035398050002</v>
      </c>
      <c r="K166" s="34">
        <f>(C166*1.07964601769)+(-5.6)</f>
        <v>14.373451327265</v>
      </c>
    </row>
    <row r="167" spans="1:11" s="21" customFormat="1" ht="19.95" customHeight="1" x14ac:dyDescent="0.25">
      <c r="A167" s="13" t="str">
        <f>"15646"</f>
        <v>15646</v>
      </c>
      <c r="B167" s="14" t="s">
        <v>517</v>
      </c>
      <c r="C167" s="13" t="str">
        <f>"26.7"</f>
        <v>26.7</v>
      </c>
      <c r="D167" s="32">
        <f>(C167*1.24778761061)+(0.4)</f>
        <v>33.715929203286997</v>
      </c>
      <c r="E167" s="33">
        <f>(C167*1.16814159292)+(-1)</f>
        <v>30.189380530964002</v>
      </c>
      <c r="F167" s="33">
        <f>(C167*1.1238938053)+(-4.4)</f>
        <v>25.607964601509998</v>
      </c>
      <c r="G167" s="33">
        <f>(C167*1.06194690265)+(-5.9)</f>
        <v>22.453982300754994</v>
      </c>
      <c r="H167" s="34">
        <f>(C167*1.19469026548)+(0)</f>
        <v>31.898230088315998</v>
      </c>
      <c r="I167" s="34">
        <f>(C167*1.16814159292)+(-2)</f>
        <v>29.189380530964002</v>
      </c>
      <c r="J167" s="34">
        <f>(C167*1.1238938053)+(-3.9)</f>
        <v>26.107964601510002</v>
      </c>
      <c r="K167" s="34">
        <f>(C167*1.07964601769)+(-5.6)</f>
        <v>23.226548672322998</v>
      </c>
    </row>
    <row r="168" spans="1:11" s="21" customFormat="1" ht="19.95" customHeight="1" x14ac:dyDescent="0.25">
      <c r="A168" s="13" t="str">
        <f>"68153"</f>
        <v>68153</v>
      </c>
      <c r="B168" s="14" t="s">
        <v>518</v>
      </c>
      <c r="C168" s="13" t="str">
        <f>"23.4"</f>
        <v>23.4</v>
      </c>
      <c r="D168" s="32">
        <f>(C168*1.24778761061)+(0.4)</f>
        <v>29.598230088274001</v>
      </c>
      <c r="E168" s="33">
        <f>(C168*1.16814159292)+(-1)</f>
        <v>26.334513274328</v>
      </c>
      <c r="F168" s="33">
        <f>(C168*1.1238938053)+(-4.4)</f>
        <v>21.89911504402</v>
      </c>
      <c r="G168" s="33">
        <f>(C168*1.06194690265)+(-5.9)</f>
        <v>18.949557522009997</v>
      </c>
      <c r="H168" s="34">
        <f>(C168*1.19469026548)+(0)</f>
        <v>27.955752212231999</v>
      </c>
      <c r="I168" s="34">
        <f>(C168*1.16814159292)+(-2)</f>
        <v>25.334513274328</v>
      </c>
      <c r="J168" s="34">
        <f>(C168*1.1238938053)+(-3.9)</f>
        <v>22.39911504402</v>
      </c>
      <c r="K168" s="34">
        <f>(C168*1.07964601769)+(-5.6)</f>
        <v>19.663716813945996</v>
      </c>
    </row>
    <row r="169" spans="1:11" s="21" customFormat="1" ht="19.95" customHeight="1" x14ac:dyDescent="0.25">
      <c r="A169" s="13" t="str">
        <f>"76414"</f>
        <v>76414</v>
      </c>
      <c r="B169" s="14" t="s">
        <v>519</v>
      </c>
      <c r="C169" s="13" t="str">
        <f>"20.5"</f>
        <v>20.5</v>
      </c>
      <c r="D169" s="32">
        <f>(C169*1.24778761061)+(0.4)</f>
        <v>25.979646017505001</v>
      </c>
      <c r="E169" s="33">
        <f>(C169*1.16814159292)+(-1)</f>
        <v>22.946902654860001</v>
      </c>
      <c r="F169" s="33">
        <f>(C169*1.1238938053)+(-4.4)</f>
        <v>18.639823008649998</v>
      </c>
      <c r="G169" s="33">
        <f>(C169*1.06194690265)+(-5.9)</f>
        <v>15.869911504324998</v>
      </c>
      <c r="H169" s="34">
        <f>(C169*1.19469026548)+(0)</f>
        <v>24.49115044234</v>
      </c>
      <c r="I169" s="34">
        <f>(C169*1.16814159292)+(-2)</f>
        <v>21.946902654860001</v>
      </c>
      <c r="J169" s="34">
        <f>(C169*1.1238938053)+(-3.9)</f>
        <v>19.139823008650001</v>
      </c>
      <c r="K169" s="34">
        <f>(C169*1.07964601769)+(-5.6)</f>
        <v>16.532743362645</v>
      </c>
    </row>
    <row r="170" spans="1:11" s="21" customFormat="1" ht="19.95" customHeight="1" x14ac:dyDescent="0.25">
      <c r="A170" s="13" t="str">
        <f>"69898"</f>
        <v>69898</v>
      </c>
      <c r="B170" s="14" t="s">
        <v>520</v>
      </c>
      <c r="C170" s="13" t="str">
        <f>"26.2"</f>
        <v>26.2</v>
      </c>
      <c r="D170" s="32">
        <f>(C170*1.24778761061)+(0.4)</f>
        <v>33.092035397982002</v>
      </c>
      <c r="E170" s="33">
        <f>(C170*1.16814159292)+(-1)</f>
        <v>29.605309734504001</v>
      </c>
      <c r="F170" s="33">
        <f>(C170*1.1238938053)+(-4.4)</f>
        <v>25.046017698859998</v>
      </c>
      <c r="G170" s="33">
        <f>(C170*1.06194690265)+(-5.9)</f>
        <v>21.923008849429998</v>
      </c>
      <c r="H170" s="34">
        <f>(C170*1.19469026548)+(0)</f>
        <v>31.300884955575999</v>
      </c>
      <c r="I170" s="34">
        <f>(C170*1.16814159292)+(-2)</f>
        <v>28.605309734504001</v>
      </c>
      <c r="J170" s="34">
        <f>(C170*1.1238938053)+(-3.9)</f>
        <v>25.546017698860002</v>
      </c>
      <c r="K170" s="34">
        <f>(C170*1.07964601769)+(-5.6)</f>
        <v>22.686725663478001</v>
      </c>
    </row>
    <row r="171" spans="1:11" s="21" customFormat="1" ht="19.95" customHeight="1" x14ac:dyDescent="0.25">
      <c r="A171" s="13" t="str">
        <f>"1007727"</f>
        <v>1007727</v>
      </c>
      <c r="B171" s="14" t="s">
        <v>521</v>
      </c>
      <c r="C171" s="13" t="str">
        <f>"25.3"</f>
        <v>25.3</v>
      </c>
      <c r="D171" s="32">
        <f>(C171*1.24778761061)+(0.4)</f>
        <v>31.969026548433003</v>
      </c>
      <c r="E171" s="33">
        <f>(C171*1.16814159292)+(-1)</f>
        <v>28.553982300876005</v>
      </c>
      <c r="F171" s="33">
        <f>(C171*1.1238938053)+(-4.4)</f>
        <v>24.034513274090003</v>
      </c>
      <c r="G171" s="33">
        <f>(C171*1.06194690265)+(-5.9)</f>
        <v>20.967256637044997</v>
      </c>
      <c r="H171" s="34">
        <f>(C171*1.19469026548)+(0)</f>
        <v>30.225663716644</v>
      </c>
      <c r="I171" s="34">
        <f>(C171*1.16814159292)+(-2)</f>
        <v>27.553982300876005</v>
      </c>
      <c r="J171" s="34">
        <f>(C171*1.1238938053)+(-3.9)</f>
        <v>24.534513274090003</v>
      </c>
      <c r="K171" s="34">
        <f>(C171*1.07964601769)+(-5.6)</f>
        <v>21.715044247557003</v>
      </c>
    </row>
    <row r="172" spans="1:11" s="21" customFormat="1" ht="19.95" customHeight="1" x14ac:dyDescent="0.25">
      <c r="A172" s="13" t="str">
        <f>"76462"</f>
        <v>76462</v>
      </c>
      <c r="B172" s="14" t="s">
        <v>522</v>
      </c>
      <c r="C172" s="13" t="str">
        <f>"14.6"</f>
        <v>14.6</v>
      </c>
      <c r="D172" s="32">
        <f>(C172*1.24778761061)+(0.4)</f>
        <v>18.617699114905999</v>
      </c>
      <c r="E172" s="33">
        <f>(C172*1.16814159292)+(-1)</f>
        <v>16.054867256632001</v>
      </c>
      <c r="F172" s="33">
        <f>(C172*1.1238938053)+(-4.4)</f>
        <v>12.008849557380001</v>
      </c>
      <c r="G172" s="33">
        <f>(C172*1.06194690265)+(-5.9)</f>
        <v>9.6044247786899977</v>
      </c>
      <c r="H172" s="34">
        <f>(C172*1.19469026548)+(0)</f>
        <v>17.442477876007999</v>
      </c>
      <c r="I172" s="34">
        <f>(C172*1.16814159292)+(-2)</f>
        <v>15.054867256632001</v>
      </c>
      <c r="J172" s="34">
        <f>(C172*1.1238938053)+(-3.9)</f>
        <v>12.508849557380001</v>
      </c>
      <c r="K172" s="34">
        <f>(C172*1.07964601769)+(-5.6)</f>
        <v>10.162831858274</v>
      </c>
    </row>
    <row r="173" spans="1:11" s="21" customFormat="1" ht="19.95" customHeight="1" x14ac:dyDescent="0.25">
      <c r="A173" s="13" t="str">
        <f>"77840"</f>
        <v>77840</v>
      </c>
      <c r="B173" s="14" t="s">
        <v>523</v>
      </c>
      <c r="C173" s="13" t="str">
        <f>"27.2"</f>
        <v>27.2</v>
      </c>
      <c r="D173" s="32">
        <f>(C173*1.24778761061)+(0.4)</f>
        <v>34.339823008591999</v>
      </c>
      <c r="E173" s="33">
        <f>(C173*1.16814159292)+(-1)</f>
        <v>30.773451327424002</v>
      </c>
      <c r="F173" s="33">
        <f>(C173*1.1238938053)+(-4.4)</f>
        <v>26.169911504159998</v>
      </c>
      <c r="G173" s="33">
        <f>(C173*1.06194690265)+(-5.9)</f>
        <v>22.984955752079998</v>
      </c>
      <c r="H173" s="34">
        <f>(C173*1.19469026548)+(0)</f>
        <v>32.495575221056001</v>
      </c>
      <c r="I173" s="34">
        <f>(C173*1.16814159292)+(-2)</f>
        <v>29.773451327424002</v>
      </c>
      <c r="J173" s="34">
        <f>(C173*1.1238938053)+(-3.9)</f>
        <v>26.669911504160002</v>
      </c>
      <c r="K173" s="34">
        <f>(C173*1.07964601769)+(-5.6)</f>
        <v>23.766371681168003</v>
      </c>
    </row>
    <row r="174" spans="1:11" s="21" customFormat="1" ht="19.95" customHeight="1" x14ac:dyDescent="0.25">
      <c r="A174" s="13" t="str">
        <f>"15657"</f>
        <v>15657</v>
      </c>
      <c r="B174" s="14" t="s">
        <v>524</v>
      </c>
      <c r="C174" s="13" t="str">
        <f>"21.8"</f>
        <v>21.8</v>
      </c>
      <c r="D174" s="32">
        <f>(C174*1.24778761061)+(0.4)</f>
        <v>27.601769911298003</v>
      </c>
      <c r="E174" s="33">
        <f>(C174*1.16814159292)+(-1)</f>
        <v>24.465486725656003</v>
      </c>
      <c r="F174" s="33">
        <f>(C174*1.1238938053)+(-4.4)</f>
        <v>20.100884955540003</v>
      </c>
      <c r="G174" s="33">
        <f>(C174*1.06194690265)+(-5.9)</f>
        <v>17.250442477770001</v>
      </c>
      <c r="H174" s="34">
        <f>(C174*1.19469026548)+(0)</f>
        <v>26.044247787464002</v>
      </c>
      <c r="I174" s="34">
        <f>(C174*1.16814159292)+(-2)</f>
        <v>23.465486725656003</v>
      </c>
      <c r="J174" s="34">
        <f>(C174*1.1238938053)+(-3.9)</f>
        <v>20.600884955540003</v>
      </c>
      <c r="K174" s="34">
        <f>(C174*1.07964601769)+(-5.6)</f>
        <v>17.936283185642004</v>
      </c>
    </row>
    <row r="175" spans="1:11" s="21" customFormat="1" ht="19.95" customHeight="1" x14ac:dyDescent="0.25">
      <c r="A175" s="13" t="str">
        <f>"41913"</f>
        <v>41913</v>
      </c>
      <c r="B175" s="14" t="s">
        <v>525</v>
      </c>
      <c r="C175" s="13" t="str">
        <f>"11.6"</f>
        <v>11.6</v>
      </c>
      <c r="D175" s="32">
        <f>(C175*1.24778761061)+(0.4)</f>
        <v>14.874336283076001</v>
      </c>
      <c r="E175" s="33">
        <f>(C175*1.16814159292)+(-1)</f>
        <v>12.550442477872</v>
      </c>
      <c r="F175" s="33">
        <f>(C175*1.1238938053)+(-4.4)</f>
        <v>8.6371681414800001</v>
      </c>
      <c r="G175" s="33">
        <f>(C175*1.06194690265)+(-5.9)</f>
        <v>6.4185840707399979</v>
      </c>
      <c r="H175" s="34">
        <f>(C175*1.19469026548)+(0)</f>
        <v>13.858407079568</v>
      </c>
      <c r="I175" s="34">
        <f>(C175*1.16814159292)+(-2)</f>
        <v>11.550442477872</v>
      </c>
      <c r="J175" s="34">
        <f>(C175*1.1238938053)+(-3.9)</f>
        <v>9.1371681414800001</v>
      </c>
      <c r="K175" s="34">
        <f>(C175*1.07964601769)+(-5.6)</f>
        <v>6.9238938052040009</v>
      </c>
    </row>
    <row r="176" spans="1:11" s="21" customFormat="1" ht="19.95" customHeight="1" x14ac:dyDescent="0.25">
      <c r="A176" s="13" t="str">
        <f>"71291"</f>
        <v>71291</v>
      </c>
      <c r="B176" s="14" t="s">
        <v>526</v>
      </c>
      <c r="C176" s="13" t="str">
        <f>"0.2"</f>
        <v>0.2</v>
      </c>
      <c r="D176" s="32">
        <f>(C176*1.24778761061)+(0.4)</f>
        <v>0.64955752212200002</v>
      </c>
      <c r="E176" s="33">
        <f>(C176*1.16814159292)+(-1)</f>
        <v>-0.76637168141599998</v>
      </c>
      <c r="F176" s="33">
        <f>(C176*1.1238938053)+(-4.4)</f>
        <v>-4.1752212389400007</v>
      </c>
      <c r="G176" s="33">
        <f>(C176*1.06194690265)+(-5.9)</f>
        <v>-5.68761061947</v>
      </c>
      <c r="H176" s="34">
        <f>(C176*1.19469026548)+(0)</f>
        <v>0.23893805309600002</v>
      </c>
      <c r="I176" s="34">
        <f>(C176*1.16814159292)+(-2)</f>
        <v>-1.766371681416</v>
      </c>
      <c r="J176" s="34">
        <f>(C176*1.1238938053)+(-3.9)</f>
        <v>-3.6752212389399999</v>
      </c>
      <c r="K176" s="34">
        <f>(C176*1.07964601769)+(-5.6)</f>
        <v>-5.3840707964619998</v>
      </c>
    </row>
    <row r="177" spans="1:11" s="21" customFormat="1" ht="19.95" customHeight="1" x14ac:dyDescent="0.25">
      <c r="A177" s="13" t="str">
        <f>"67667"</f>
        <v>67667</v>
      </c>
      <c r="B177" s="14" t="s">
        <v>527</v>
      </c>
      <c r="C177" s="13" t="str">
        <f>"7.1"</f>
        <v>7.1</v>
      </c>
      <c r="D177" s="32">
        <f>(C177*1.24778761061)+(0.4)</f>
        <v>9.2592920353310006</v>
      </c>
      <c r="E177" s="33">
        <f>(C177*1.16814159292)+(-1)</f>
        <v>7.2938053097320008</v>
      </c>
      <c r="F177" s="33">
        <f>(C177*1.1238938053)+(-4.4)</f>
        <v>3.57964601763</v>
      </c>
      <c r="G177" s="33">
        <f>(C177*1.06194690265)+(-5.9)</f>
        <v>1.6398230088149983</v>
      </c>
      <c r="H177" s="34">
        <f>(C177*1.19469026548)+(0)</f>
        <v>8.4823008849079997</v>
      </c>
      <c r="I177" s="34">
        <f>(C177*1.16814159292)+(-2)</f>
        <v>6.2938053097320008</v>
      </c>
      <c r="J177" s="34">
        <f>(C177*1.1238938053)+(-3.9)</f>
        <v>4.0796460176300009</v>
      </c>
      <c r="K177" s="34">
        <f>(C177*1.07964601769)+(-5.6)</f>
        <v>2.0654867255990004</v>
      </c>
    </row>
    <row r="178" spans="1:11" s="21" customFormat="1" ht="19.95" customHeight="1" x14ac:dyDescent="0.25">
      <c r="A178" s="13" t="str">
        <f>"1014417"</f>
        <v>1014417</v>
      </c>
      <c r="B178" s="14" t="s">
        <v>528</v>
      </c>
      <c r="C178" s="13" t="str">
        <f>"26.5"</f>
        <v>26.5</v>
      </c>
      <c r="D178" s="32">
        <f>(C178*1.24778761061)+(0.4)</f>
        <v>33.466371681165</v>
      </c>
      <c r="E178" s="33">
        <f>(C178*1.16814159292)+(-1)</f>
        <v>29.955752212380002</v>
      </c>
      <c r="F178" s="33">
        <f>(C178*1.1238938053)+(-4.4)</f>
        <v>25.383185840450004</v>
      </c>
      <c r="G178" s="33">
        <f>(C178*1.06194690265)+(-5.9)</f>
        <v>22.241592920224996</v>
      </c>
      <c r="H178" s="34">
        <f>(C178*1.19469026548)+(0)</f>
        <v>31.659292035220002</v>
      </c>
      <c r="I178" s="34">
        <f>(C178*1.16814159292)+(-2)</f>
        <v>28.955752212380002</v>
      </c>
      <c r="J178" s="34">
        <f>(C178*1.1238938053)+(-3.9)</f>
        <v>25.883185840450004</v>
      </c>
      <c r="K178" s="34">
        <f>(C178*1.07964601769)+(-5.6)</f>
        <v>23.010619468785002</v>
      </c>
    </row>
    <row r="179" spans="1:11" s="21" customFormat="1" ht="19.95" customHeight="1" x14ac:dyDescent="0.25">
      <c r="A179" s="13" t="str">
        <f>"15661"</f>
        <v>15661</v>
      </c>
      <c r="B179" s="14" t="s">
        <v>529</v>
      </c>
      <c r="C179" s="13" t="str">
        <f>"25.2"</f>
        <v>25.2</v>
      </c>
      <c r="D179" s="32">
        <f>(C179*1.24778761061)+(0.4)</f>
        <v>31.844247787372002</v>
      </c>
      <c r="E179" s="33">
        <f>(C179*1.16814159292)+(-1)</f>
        <v>28.437168141584003</v>
      </c>
      <c r="F179" s="33">
        <f>(C179*1.1238938053)+(-4.4)</f>
        <v>23.922123893559998</v>
      </c>
      <c r="G179" s="33">
        <f>(C179*1.06194690265)+(-5.9)</f>
        <v>20.861061946779998</v>
      </c>
      <c r="H179" s="34">
        <f>(C179*1.19469026548)+(0)</f>
        <v>30.106194690096</v>
      </c>
      <c r="I179" s="34">
        <f>(C179*1.16814159292)+(-2)</f>
        <v>27.437168141584003</v>
      </c>
      <c r="J179" s="34">
        <f>(C179*1.1238938053)+(-3.9)</f>
        <v>24.422123893560002</v>
      </c>
      <c r="K179" s="34">
        <f>(C179*1.07964601769)+(-5.6)</f>
        <v>21.607079645787998</v>
      </c>
    </row>
    <row r="180" spans="1:11" s="21" customFormat="1" ht="19.95" customHeight="1" x14ac:dyDescent="0.25">
      <c r="A180" s="13" t="str">
        <f>"15663"</f>
        <v>15663</v>
      </c>
      <c r="B180" s="14" t="s">
        <v>530</v>
      </c>
      <c r="C180" s="13" t="str">
        <f>"14.5"</f>
        <v>14.5</v>
      </c>
      <c r="D180" s="32">
        <f>(C180*1.24778761061)+(0.4)</f>
        <v>18.492920353845001</v>
      </c>
      <c r="E180" s="33">
        <f>(C180*1.16814159292)+(-1)</f>
        <v>15.938053097340003</v>
      </c>
      <c r="F180" s="33">
        <f>(C180*1.1238938053)+(-4.4)</f>
        <v>11.896460176850001</v>
      </c>
      <c r="G180" s="33">
        <f>(C180*1.06194690265)+(-5.9)</f>
        <v>9.4982300884249984</v>
      </c>
      <c r="H180" s="34">
        <f>(C180*1.19469026548)+(0)</f>
        <v>17.323008849459999</v>
      </c>
      <c r="I180" s="34">
        <f>(C180*1.16814159292)+(-2)</f>
        <v>14.938053097340003</v>
      </c>
      <c r="J180" s="34">
        <f>(C180*1.1238938053)+(-3.9)</f>
        <v>12.396460176850001</v>
      </c>
      <c r="K180" s="34">
        <f>(C180*1.07964601769)+(-5.6)</f>
        <v>10.054867256505</v>
      </c>
    </row>
    <row r="181" spans="1:11" s="21" customFormat="1" ht="19.95" customHeight="1" x14ac:dyDescent="0.25">
      <c r="A181" s="13" t="str">
        <f>"1000188"</f>
        <v>1000188</v>
      </c>
      <c r="B181" s="14" t="s">
        <v>531</v>
      </c>
      <c r="C181" s="13" t="str">
        <f>"28.0"</f>
        <v>28.0</v>
      </c>
      <c r="D181" s="32">
        <f>(C181*1.24778761061)+(0.4)</f>
        <v>35.33805309708</v>
      </c>
      <c r="E181" s="33">
        <f>(C181*1.16814159292)+(-1)</f>
        <v>31.707964601760004</v>
      </c>
      <c r="F181" s="33">
        <f>(C181*1.1238938053)+(-4.4)</f>
        <v>27.069026548400004</v>
      </c>
      <c r="G181" s="33">
        <f>(C181*1.06194690265)+(-5.9)</f>
        <v>23.834513274199999</v>
      </c>
      <c r="H181" s="34">
        <f>(C181*1.19469026548)+(0)</f>
        <v>33.451327433439999</v>
      </c>
      <c r="I181" s="34">
        <f>(C181*1.16814159292)+(-2)</f>
        <v>30.707964601760004</v>
      </c>
      <c r="J181" s="34">
        <f>(C181*1.1238938053)+(-3.9)</f>
        <v>27.569026548400004</v>
      </c>
      <c r="K181" s="34">
        <f>(C181*1.07964601769)+(-5.6)</f>
        <v>24.630088495320003</v>
      </c>
    </row>
    <row r="182" spans="1:11" s="21" customFormat="1" ht="19.95" customHeight="1" x14ac:dyDescent="0.25">
      <c r="A182" s="13" t="str">
        <f>"1014524"</f>
        <v>1014524</v>
      </c>
      <c r="B182" s="14" t="s">
        <v>532</v>
      </c>
      <c r="C182" s="13" t="str">
        <f>"29.8"</f>
        <v>29.8</v>
      </c>
      <c r="D182" s="32">
        <f>(C182*1.24778761061)+(0.4)</f>
        <v>37.584070796178004</v>
      </c>
      <c r="E182" s="33">
        <f>(C182*1.16814159292)+(-1)</f>
        <v>33.810619469016004</v>
      </c>
      <c r="F182" s="33">
        <f>(C182*1.1238938053)+(-4.4)</f>
        <v>29.092035397940002</v>
      </c>
      <c r="G182" s="33">
        <f>(C182*1.06194690265)+(-5.9)</f>
        <v>25.74601769897</v>
      </c>
      <c r="H182" s="34">
        <f>(C182*1.19469026548)+(0)</f>
        <v>35.601769911304004</v>
      </c>
      <c r="I182" s="34">
        <f>(C182*1.16814159292)+(-2)</f>
        <v>32.810619469016004</v>
      </c>
      <c r="J182" s="34">
        <f>(C182*1.1238938053)+(-3.9)</f>
        <v>29.592035397940002</v>
      </c>
      <c r="K182" s="34">
        <f>(C182*1.07964601769)+(-5.6)</f>
        <v>26.573451327161997</v>
      </c>
    </row>
    <row r="183" spans="1:11" s="21" customFormat="1" ht="19.95" customHeight="1" x14ac:dyDescent="0.25">
      <c r="A183" s="13" t="str">
        <f>"80334"</f>
        <v>80334</v>
      </c>
      <c r="B183" s="14" t="s">
        <v>533</v>
      </c>
      <c r="C183" s="13" t="str">
        <f>"17.6"</f>
        <v>17.6</v>
      </c>
      <c r="D183" s="32">
        <f>(C183*1.24778761061)+(0.4)</f>
        <v>22.361061946736001</v>
      </c>
      <c r="E183" s="33">
        <f>(C183*1.16814159292)+(-1)</f>
        <v>19.559292035392001</v>
      </c>
      <c r="F183" s="33">
        <f>(C183*1.1238938053)+(-4.4)</f>
        <v>15.380530973280001</v>
      </c>
      <c r="G183" s="33">
        <f>(C183*1.06194690265)+(-5.9)</f>
        <v>12.790265486640001</v>
      </c>
      <c r="H183" s="34">
        <f>(C183*1.19469026548)+(0)</f>
        <v>21.026548672448001</v>
      </c>
      <c r="I183" s="34">
        <f>(C183*1.16814159292)+(-2)</f>
        <v>18.559292035392001</v>
      </c>
      <c r="J183" s="34">
        <f>(C183*1.1238938053)+(-3.9)</f>
        <v>15.880530973280001</v>
      </c>
      <c r="K183" s="34">
        <f>(C183*1.07964601769)+(-5.6)</f>
        <v>13.401769911344003</v>
      </c>
    </row>
    <row r="184" spans="1:11" s="21" customFormat="1" ht="19.95" customHeight="1" x14ac:dyDescent="0.25">
      <c r="A184" s="13" t="str">
        <f>"15668"</f>
        <v>15668</v>
      </c>
      <c r="B184" s="14" t="s">
        <v>534</v>
      </c>
      <c r="C184" s="13" t="str">
        <f>"22.2"</f>
        <v>22.2</v>
      </c>
      <c r="D184" s="32">
        <f>(C184*1.24778761061)+(0.4)</f>
        <v>28.100884955542</v>
      </c>
      <c r="E184" s="33">
        <f>(C184*1.16814159292)+(-1)</f>
        <v>24.932743362824002</v>
      </c>
      <c r="F184" s="33">
        <f>(C184*1.1238938053)+(-4.4)</f>
        <v>20.550442477659999</v>
      </c>
      <c r="G184" s="33">
        <f>(C184*1.06194690265)+(-5.9)</f>
        <v>17.675221238829998</v>
      </c>
      <c r="H184" s="34">
        <f>(C184*1.19469026548)+(0)</f>
        <v>26.522123893655998</v>
      </c>
      <c r="I184" s="34">
        <f>(C184*1.16814159292)+(-2)</f>
        <v>23.932743362824002</v>
      </c>
      <c r="J184" s="34">
        <f>(C184*1.1238938053)+(-3.9)</f>
        <v>21.050442477660003</v>
      </c>
      <c r="K184" s="34">
        <f>(C184*1.07964601769)+(-5.6)</f>
        <v>18.368141592717997</v>
      </c>
    </row>
    <row r="185" spans="1:11" s="21" customFormat="1" ht="19.95" customHeight="1" x14ac:dyDescent="0.25">
      <c r="A185" s="13" t="str">
        <f>"15665"</f>
        <v>15665</v>
      </c>
      <c r="B185" s="14" t="s">
        <v>535</v>
      </c>
      <c r="C185" s="13" t="str">
        <f>"8.9"</f>
        <v>8.9</v>
      </c>
      <c r="D185" s="32">
        <f>(C185*1.24778761061)+(0.4)</f>
        <v>11.505309734429002</v>
      </c>
      <c r="E185" s="33">
        <f>(C185*1.16814159292)+(-1)</f>
        <v>9.3964601769880005</v>
      </c>
      <c r="F185" s="33">
        <f>(C185*1.1238938053)+(-4.4)</f>
        <v>5.6026548671700009</v>
      </c>
      <c r="G185" s="33">
        <f>(C185*1.06194690265)+(-5.9)</f>
        <v>3.5513274335849996</v>
      </c>
      <c r="H185" s="34">
        <f>(C185*1.19469026548)+(0)</f>
        <v>10.632743362772</v>
      </c>
      <c r="I185" s="34">
        <f>(C185*1.16814159292)+(-2)</f>
        <v>8.3964601769880005</v>
      </c>
      <c r="J185" s="34">
        <f>(C185*1.1238938053)+(-3.9)</f>
        <v>6.1026548671700009</v>
      </c>
      <c r="K185" s="34">
        <f>(C185*1.07964601769)+(-5.6)</f>
        <v>4.0088495574410015</v>
      </c>
    </row>
    <row r="186" spans="1:11" s="21" customFormat="1" ht="19.95" customHeight="1" x14ac:dyDescent="0.25">
      <c r="A186" s="13" t="str">
        <f>"1013001"</f>
        <v>1013001</v>
      </c>
      <c r="B186" s="14" t="s">
        <v>536</v>
      </c>
      <c r="C186" s="13" t="str">
        <f>"24.9"</f>
        <v>24.9</v>
      </c>
      <c r="D186" s="32">
        <f>(C186*1.24778761061)+(0.4)</f>
        <v>31.469911504189</v>
      </c>
      <c r="E186" s="33">
        <f>(C186*1.16814159292)+(-1)</f>
        <v>28.086725663708002</v>
      </c>
      <c r="F186" s="33">
        <f>(C186*1.1238938053)+(-4.4)</f>
        <v>23.58495575197</v>
      </c>
      <c r="G186" s="33">
        <f>(C186*1.06194690265)+(-5.9)</f>
        <v>20.542477875984993</v>
      </c>
      <c r="H186" s="34">
        <f>(C186*1.19469026548)+(0)</f>
        <v>29.747787610451997</v>
      </c>
      <c r="I186" s="34">
        <f>(C186*1.16814159292)+(-2)</f>
        <v>27.086725663708002</v>
      </c>
      <c r="J186" s="34">
        <f>(C186*1.1238938053)+(-3.9)</f>
        <v>24.08495575197</v>
      </c>
      <c r="K186" s="34">
        <f>(C186*1.07964601769)+(-5.6)</f>
        <v>21.283185840480996</v>
      </c>
    </row>
    <row r="187" spans="1:11" s="21" customFormat="1" ht="19.95" customHeight="1" x14ac:dyDescent="0.25">
      <c r="A187" s="13" t="str">
        <f>"15666"</f>
        <v>15666</v>
      </c>
      <c r="B187" s="14" t="s">
        <v>537</v>
      </c>
      <c r="C187" s="13" t="str">
        <f>"15.4"</f>
        <v>15.4</v>
      </c>
      <c r="D187" s="32">
        <f>(C187*1.24778761061)+(0.4)</f>
        <v>19.615929203394</v>
      </c>
      <c r="E187" s="33">
        <f>(C187*1.16814159292)+(-1)</f>
        <v>16.989380530968003</v>
      </c>
      <c r="F187" s="33">
        <f>(C187*1.1238938053)+(-4.4)</f>
        <v>12.90796460162</v>
      </c>
      <c r="G187" s="33">
        <f>(C187*1.06194690265)+(-5.9)</f>
        <v>10.453982300809999</v>
      </c>
      <c r="H187" s="34">
        <f>(C187*1.19469026548)+(0)</f>
        <v>18.398230088392001</v>
      </c>
      <c r="I187" s="34">
        <f>(C187*1.16814159292)+(-2)</f>
        <v>15.989380530968003</v>
      </c>
      <c r="J187" s="34">
        <f>(C187*1.1238938053)+(-3.9)</f>
        <v>13.40796460162</v>
      </c>
      <c r="K187" s="34">
        <f>(C187*1.07964601769)+(-5.6)</f>
        <v>11.026548672426001</v>
      </c>
    </row>
    <row r="188" spans="1:11" s="21" customFormat="1" ht="19.95" customHeight="1" x14ac:dyDescent="0.25">
      <c r="A188" s="13" t="str">
        <f>"15671"</f>
        <v>15671</v>
      </c>
      <c r="B188" s="14" t="s">
        <v>538</v>
      </c>
      <c r="C188" s="13" t="str">
        <f>"19.9"</f>
        <v>19.9</v>
      </c>
      <c r="D188" s="32">
        <f>(C188*1.24778761061)+(0.4)</f>
        <v>25.230973451139</v>
      </c>
      <c r="E188" s="33">
        <f>(C188*1.16814159292)+(-1)</f>
        <v>22.246017699107998</v>
      </c>
      <c r="F188" s="33">
        <f>(C188*1.1238938053)+(-4.4)</f>
        <v>17.965486725470001</v>
      </c>
      <c r="G188" s="33">
        <f>(C188*1.06194690265)+(-5.9)</f>
        <v>15.232743362734995</v>
      </c>
      <c r="H188" s="34">
        <f>(C188*1.19469026548)+(0)</f>
        <v>23.774336283051998</v>
      </c>
      <c r="I188" s="34">
        <f>(C188*1.16814159292)+(-2)</f>
        <v>21.246017699107998</v>
      </c>
      <c r="J188" s="34">
        <f>(C188*1.1238938053)+(-3.9)</f>
        <v>18.465486725470001</v>
      </c>
      <c r="K188" s="34">
        <f>(C188*1.07964601769)+(-5.6)</f>
        <v>15.884955752030999</v>
      </c>
    </row>
    <row r="189" spans="1:11" s="21" customFormat="1" ht="19.95" customHeight="1" x14ac:dyDescent="0.25">
      <c r="A189" s="13" t="str">
        <f>"15672"</f>
        <v>15672</v>
      </c>
      <c r="B189" s="14" t="s">
        <v>539</v>
      </c>
      <c r="C189" s="13" t="str">
        <f>"24.9"</f>
        <v>24.9</v>
      </c>
      <c r="D189" s="32">
        <f>(C189*1.24778761061)+(0.4)</f>
        <v>31.469911504189</v>
      </c>
      <c r="E189" s="33">
        <f>(C189*1.16814159292)+(-1)</f>
        <v>28.086725663708002</v>
      </c>
      <c r="F189" s="33">
        <f>(C189*1.1238938053)+(-4.4)</f>
        <v>23.58495575197</v>
      </c>
      <c r="G189" s="33">
        <f>(C189*1.06194690265)+(-5.9)</f>
        <v>20.542477875984993</v>
      </c>
      <c r="H189" s="34">
        <f>(C189*1.19469026548)+(0)</f>
        <v>29.747787610451997</v>
      </c>
      <c r="I189" s="34">
        <f>(C189*1.16814159292)+(-2)</f>
        <v>27.086725663708002</v>
      </c>
      <c r="J189" s="34">
        <f>(C189*1.1238938053)+(-3.9)</f>
        <v>24.08495575197</v>
      </c>
      <c r="K189" s="34">
        <f>(C189*1.07964601769)+(-5.6)</f>
        <v>21.283185840480996</v>
      </c>
    </row>
    <row r="190" spans="1:11" s="21" customFormat="1" ht="19.95" customHeight="1" x14ac:dyDescent="0.25">
      <c r="A190" s="13" t="str">
        <f>"15673"</f>
        <v>15673</v>
      </c>
      <c r="B190" s="14" t="s">
        <v>540</v>
      </c>
      <c r="C190" s="13" t="str">
        <f>"25.4"</f>
        <v>25.4</v>
      </c>
      <c r="D190" s="32">
        <f>(C190*1.24778761061)+(0.4)</f>
        <v>32.093805309494002</v>
      </c>
      <c r="E190" s="33">
        <f>(C190*1.16814159292)+(-1)</f>
        <v>28.670796460167999</v>
      </c>
      <c r="F190" s="33">
        <f>(C190*1.1238938053)+(-4.4)</f>
        <v>24.14690265462</v>
      </c>
      <c r="G190" s="33">
        <f>(C190*1.06194690265)+(-5.9)</f>
        <v>21.073451327309996</v>
      </c>
      <c r="H190" s="34">
        <f>(C190*1.19469026548)+(0)</f>
        <v>30.345132743192</v>
      </c>
      <c r="I190" s="34">
        <f>(C190*1.16814159292)+(-2)</f>
        <v>27.670796460167999</v>
      </c>
      <c r="J190" s="34">
        <f>(C190*1.1238938053)+(-3.9)</f>
        <v>24.64690265462</v>
      </c>
      <c r="K190" s="34">
        <f>(C190*1.07964601769)+(-5.6)</f>
        <v>21.823008849326001</v>
      </c>
    </row>
    <row r="191" spans="1:11" s="21" customFormat="1" ht="19.95" customHeight="1" x14ac:dyDescent="0.25">
      <c r="A191" s="13" t="str">
        <f>"70354"</f>
        <v>70354</v>
      </c>
      <c r="B191" s="14" t="s">
        <v>541</v>
      </c>
      <c r="C191" s="13" t="str">
        <f>"17.5"</f>
        <v>17.5</v>
      </c>
      <c r="D191" s="32">
        <f>(C191*1.24778761061)+(0.4)</f>
        <v>22.236283185674999</v>
      </c>
      <c r="E191" s="33">
        <f>(C191*1.16814159292)+(-1)</f>
        <v>19.4424778761</v>
      </c>
      <c r="F191" s="33">
        <f>(C191*1.1238938053)+(-4.4)</f>
        <v>15.26814159275</v>
      </c>
      <c r="G191" s="33">
        <f>(C191*1.06194690265)+(-5.9)</f>
        <v>12.684070796374998</v>
      </c>
      <c r="H191" s="34">
        <f>(C191*1.19469026548)+(0)</f>
        <v>20.907079645900001</v>
      </c>
      <c r="I191" s="34">
        <f>(C191*1.16814159292)+(-2)</f>
        <v>18.4424778761</v>
      </c>
      <c r="J191" s="34">
        <f>(C191*1.1238938053)+(-3.9)</f>
        <v>15.76814159275</v>
      </c>
      <c r="K191" s="34">
        <f>(C191*1.07964601769)+(-5.6)</f>
        <v>13.293805309575001</v>
      </c>
    </row>
    <row r="192" spans="1:11" s="21" customFormat="1" ht="19.95" customHeight="1" x14ac:dyDescent="0.25">
      <c r="A192" s="13" t="str">
        <f>"15674"</f>
        <v>15674</v>
      </c>
      <c r="B192" s="14" t="s">
        <v>542</v>
      </c>
      <c r="C192" s="13" t="str">
        <f>"21.1"</f>
        <v>21.1</v>
      </c>
      <c r="D192" s="32">
        <f>(C192*1.24778761061)+(0.4)</f>
        <v>26.728318583871001</v>
      </c>
      <c r="E192" s="33">
        <f>(C192*1.16814159292)+(-1)</f>
        <v>23.647787610612003</v>
      </c>
      <c r="F192" s="33">
        <f>(C192*1.1238938053)+(-4.4)</f>
        <v>19.314159291830002</v>
      </c>
      <c r="G192" s="33">
        <f>(C192*1.06194690265)+(-5.9)</f>
        <v>16.507079645914999</v>
      </c>
      <c r="H192" s="34">
        <f>(C192*1.19469026548)+(0)</f>
        <v>25.207964601628003</v>
      </c>
      <c r="I192" s="34">
        <f>(C192*1.16814159292)+(-2)</f>
        <v>22.647787610612003</v>
      </c>
      <c r="J192" s="34">
        <f>(C192*1.1238938053)+(-3.9)</f>
        <v>19.814159291830006</v>
      </c>
      <c r="K192" s="34">
        <f>(C192*1.07964601769)+(-5.6)</f>
        <v>17.180530973259003</v>
      </c>
    </row>
    <row r="193" spans="1:11" s="21" customFormat="1" ht="19.95" customHeight="1" x14ac:dyDescent="0.25">
      <c r="A193" s="13" t="str">
        <f>"75972"</f>
        <v>75972</v>
      </c>
      <c r="B193" s="14" t="s">
        <v>543</v>
      </c>
      <c r="C193" s="13" t="str">
        <f>"4.5"</f>
        <v>4.5</v>
      </c>
      <c r="D193" s="32">
        <f>(C193*1.24778761061)+(0.4)</f>
        <v>6.015044247745001</v>
      </c>
      <c r="E193" s="33">
        <f>(C193*1.16814159292)+(-1)</f>
        <v>4.2566371681400001</v>
      </c>
      <c r="F193" s="33">
        <f>(C193*1.1238938053)+(-4.4)</f>
        <v>0.65752212384999975</v>
      </c>
      <c r="G193" s="33">
        <f>(C193*1.06194690265)+(-5.9)</f>
        <v>-1.1212389380750007</v>
      </c>
      <c r="H193" s="34">
        <f>(C193*1.19469026548)+(0)</f>
        <v>5.3761061946600002</v>
      </c>
      <c r="I193" s="34">
        <f>(C193*1.16814159292)+(-2)</f>
        <v>3.2566371681400001</v>
      </c>
      <c r="J193" s="34">
        <f>(C193*1.1238938053)+(-3.9)</f>
        <v>1.1575221238500002</v>
      </c>
      <c r="K193" s="34">
        <f>(C193*1.07964601769)+(-5.6)</f>
        <v>-0.74159292039500002</v>
      </c>
    </row>
    <row r="194" spans="1:11" s="21" customFormat="1" ht="19.95" customHeight="1" x14ac:dyDescent="0.25">
      <c r="A194" s="13" t="str">
        <f>"15677"</f>
        <v>15677</v>
      </c>
      <c r="B194" s="14" t="s">
        <v>544</v>
      </c>
      <c r="C194" s="13" t="str">
        <f>"21.7"</f>
        <v>21.7</v>
      </c>
      <c r="D194" s="32">
        <f>(C194*1.24778761061)+(0.4)</f>
        <v>27.476991150237001</v>
      </c>
      <c r="E194" s="33">
        <f>(C194*1.16814159292)+(-1)</f>
        <v>24.348672566364002</v>
      </c>
      <c r="F194" s="33">
        <f>(C194*1.1238938053)+(-4.4)</f>
        <v>19.988495575009999</v>
      </c>
      <c r="G194" s="33">
        <f>(C194*1.06194690265)+(-5.9)</f>
        <v>17.144247787504995</v>
      </c>
      <c r="H194" s="34">
        <f>(C194*1.19469026548)+(0)</f>
        <v>25.924778760915999</v>
      </c>
      <c r="I194" s="34">
        <f>(C194*1.16814159292)+(-2)</f>
        <v>23.348672566364002</v>
      </c>
      <c r="J194" s="34">
        <f>(C194*1.1238938053)+(-3.9)</f>
        <v>20.488495575010003</v>
      </c>
      <c r="K194" s="34">
        <f>(C194*1.07964601769)+(-5.6)</f>
        <v>17.828318583872999</v>
      </c>
    </row>
    <row r="195" spans="1:11" s="21" customFormat="1" ht="19.95" customHeight="1" x14ac:dyDescent="0.25">
      <c r="A195" s="13" t="str">
        <f>"15678"</f>
        <v>15678</v>
      </c>
      <c r="B195" s="14" t="s">
        <v>545</v>
      </c>
      <c r="C195" s="13" t="str">
        <f>"19.7"</f>
        <v>19.7</v>
      </c>
      <c r="D195" s="32">
        <f>(C195*1.24778761061)+(0.4)</f>
        <v>24.981415929017</v>
      </c>
      <c r="E195" s="33">
        <f>(C195*1.16814159292)+(-1)</f>
        <v>22.012389380524002</v>
      </c>
      <c r="F195" s="33">
        <f>(C195*1.1238938053)+(-4.4)</f>
        <v>17.740707964409999</v>
      </c>
      <c r="G195" s="33">
        <f>(C195*1.06194690265)+(-5.9)</f>
        <v>15.020353982204997</v>
      </c>
      <c r="H195" s="34">
        <f>(C195*1.19469026548)+(0)</f>
        <v>23.535398229955998</v>
      </c>
      <c r="I195" s="34">
        <f>(C195*1.16814159292)+(-2)</f>
        <v>21.012389380524002</v>
      </c>
      <c r="J195" s="34">
        <f>(C195*1.1238938053)+(-3.9)</f>
        <v>18.240707964410003</v>
      </c>
      <c r="K195" s="34">
        <f>(C195*1.07964601769)+(-5.6)</f>
        <v>15.669026548492999</v>
      </c>
    </row>
    <row r="196" spans="1:11" s="21" customFormat="1" ht="19.95" customHeight="1" x14ac:dyDescent="0.25">
      <c r="A196" s="13" t="str">
        <f>"15681"</f>
        <v>15681</v>
      </c>
      <c r="B196" s="14" t="s">
        <v>546</v>
      </c>
      <c r="C196" s="13" t="str">
        <f>"27.9"</f>
        <v>27.9</v>
      </c>
      <c r="D196" s="32">
        <f>(C196*1.24778761061)+(0.4)</f>
        <v>35.213274336018998</v>
      </c>
      <c r="E196" s="33">
        <f>(C196*1.16814159292)+(-1)</f>
        <v>31.591150442467999</v>
      </c>
      <c r="F196" s="33">
        <f>(C196*1.1238938053)+(-4.4)</f>
        <v>26.956637167869999</v>
      </c>
      <c r="G196" s="33">
        <f>(C196*1.06194690265)+(-5.9)</f>
        <v>23.728318583934993</v>
      </c>
      <c r="H196" s="34">
        <f>(C196*1.19469026548)+(0)</f>
        <v>33.331858406891996</v>
      </c>
      <c r="I196" s="34">
        <f>(C196*1.16814159292)+(-2)</f>
        <v>30.591150442467999</v>
      </c>
      <c r="J196" s="34">
        <f>(C196*1.1238938053)+(-3.9)</f>
        <v>27.456637167869999</v>
      </c>
      <c r="K196" s="34">
        <f>(C196*1.07964601769)+(-5.6)</f>
        <v>24.522123893550997</v>
      </c>
    </row>
    <row r="197" spans="1:11" s="21" customFormat="1" ht="19.95" customHeight="1" x14ac:dyDescent="0.25">
      <c r="A197" s="13" t="str">
        <f>"36047"</f>
        <v>36047</v>
      </c>
      <c r="B197" s="14" t="s">
        <v>547</v>
      </c>
      <c r="C197" s="13" t="str">
        <f>"27.8"</f>
        <v>27.8</v>
      </c>
      <c r="D197" s="32">
        <f>(C197*1.24778761061)+(0.4)</f>
        <v>35.088495574958003</v>
      </c>
      <c r="E197" s="33">
        <f>(C197*1.16814159292)+(-1)</f>
        <v>31.474336283176001</v>
      </c>
      <c r="F197" s="33">
        <f>(C197*1.1238938053)+(-4.4)</f>
        <v>26.844247787340002</v>
      </c>
      <c r="G197" s="33">
        <f>(C197*1.06194690265)+(-5.9)</f>
        <v>23.62212389367</v>
      </c>
      <c r="H197" s="34">
        <f>(C197*1.19469026548)+(0)</f>
        <v>33.212389380344</v>
      </c>
      <c r="I197" s="34">
        <f>(C197*1.16814159292)+(-2)</f>
        <v>30.474336283176001</v>
      </c>
      <c r="J197" s="34">
        <f>(C197*1.1238938053)+(-3.9)</f>
        <v>27.344247787340002</v>
      </c>
      <c r="K197" s="34">
        <f>(C197*1.07964601769)+(-5.6)</f>
        <v>24.414159291781999</v>
      </c>
    </row>
    <row r="198" spans="1:11" s="21" customFormat="1" ht="19.95" customHeight="1" x14ac:dyDescent="0.25">
      <c r="A198" s="13" t="str">
        <f>"81348"</f>
        <v>81348</v>
      </c>
      <c r="B198" s="14" t="s">
        <v>548</v>
      </c>
      <c r="C198" s="13" t="str">
        <f>"25.4"</f>
        <v>25.4</v>
      </c>
      <c r="D198" s="32">
        <f>(C198*1.24778761061)+(0.4)</f>
        <v>32.093805309494002</v>
      </c>
      <c r="E198" s="33">
        <f>(C198*1.16814159292)+(-1)</f>
        <v>28.670796460167999</v>
      </c>
      <c r="F198" s="33">
        <f>(C198*1.1238938053)+(-4.4)</f>
        <v>24.14690265462</v>
      </c>
      <c r="G198" s="33">
        <f>(C198*1.06194690265)+(-5.9)</f>
        <v>21.073451327309996</v>
      </c>
      <c r="H198" s="34">
        <f>(C198*1.19469026548)+(0)</f>
        <v>30.345132743192</v>
      </c>
      <c r="I198" s="34">
        <f>(C198*1.16814159292)+(-2)</f>
        <v>27.670796460167999</v>
      </c>
      <c r="J198" s="34">
        <f>(C198*1.1238938053)+(-3.9)</f>
        <v>24.64690265462</v>
      </c>
      <c r="K198" s="34">
        <f>(C198*1.07964601769)+(-5.6)</f>
        <v>21.823008849326001</v>
      </c>
    </row>
    <row r="199" spans="1:11" s="21" customFormat="1" ht="19.95" customHeight="1" x14ac:dyDescent="0.25">
      <c r="A199" s="13" t="str">
        <f>"33584"</f>
        <v>33584</v>
      </c>
      <c r="B199" s="14" t="s">
        <v>549</v>
      </c>
      <c r="C199" s="13" t="str">
        <f>"22.0"</f>
        <v>22.0</v>
      </c>
      <c r="D199" s="32">
        <f>(C199*1.24778761061)+(0.4)</f>
        <v>27.85132743342</v>
      </c>
      <c r="E199" s="33">
        <f>(C199*1.16814159292)+(-1)</f>
        <v>24.699115044240003</v>
      </c>
      <c r="F199" s="33">
        <f>(C199*1.1238938053)+(-4.4)</f>
        <v>20.325663716599998</v>
      </c>
      <c r="G199" s="33">
        <f>(C199*1.06194690265)+(-5.9)</f>
        <v>17.4628318583</v>
      </c>
      <c r="H199" s="34">
        <f>(C199*1.19469026548)+(0)</f>
        <v>26.283185840560002</v>
      </c>
      <c r="I199" s="34">
        <f>(C199*1.16814159292)+(-2)</f>
        <v>23.699115044240003</v>
      </c>
      <c r="J199" s="34">
        <f>(C199*1.1238938053)+(-3.9)</f>
        <v>20.825663716600001</v>
      </c>
      <c r="K199" s="34">
        <f>(C199*1.07964601769)+(-5.6)</f>
        <v>18.152212389180001</v>
      </c>
    </row>
    <row r="200" spans="1:11" s="21" customFormat="1" ht="19.95" customHeight="1" x14ac:dyDescent="0.25">
      <c r="A200" s="13" t="str">
        <f>"50164"</f>
        <v>50164</v>
      </c>
      <c r="B200" s="14" t="s">
        <v>550</v>
      </c>
      <c r="C200" s="13" t="str">
        <f>"26.8"</f>
        <v>26.8</v>
      </c>
      <c r="D200" s="32">
        <f>(C200*1.24778761061)+(0.4)</f>
        <v>33.840707964347999</v>
      </c>
      <c r="E200" s="33">
        <f>(C200*1.16814159292)+(-1)</f>
        <v>30.306194690256003</v>
      </c>
      <c r="F200" s="33">
        <f>(C200*1.1238938053)+(-4.4)</f>
        <v>25.720353982040002</v>
      </c>
      <c r="G200" s="33">
        <f>(C200*1.06194690265)+(-5.9)</f>
        <v>22.560176991020001</v>
      </c>
      <c r="H200" s="34">
        <f>(C200*1.19469026548)+(0)</f>
        <v>32.017699114864001</v>
      </c>
      <c r="I200" s="34">
        <f>(C200*1.16814159292)+(-2)</f>
        <v>29.306194690256003</v>
      </c>
      <c r="J200" s="34">
        <f>(C200*1.1238938053)+(-3.9)</f>
        <v>26.220353982040002</v>
      </c>
      <c r="K200" s="34">
        <f>(C200*1.07964601769)+(-5.6)</f>
        <v>23.334513274092004</v>
      </c>
    </row>
    <row r="201" spans="1:11" s="21" customFormat="1" ht="19.95" customHeight="1" x14ac:dyDescent="0.25">
      <c r="A201" s="13" t="str">
        <f>"66693"</f>
        <v>66693</v>
      </c>
      <c r="B201" s="14" t="s">
        <v>551</v>
      </c>
      <c r="C201" s="13" t="str">
        <f>"19.3"</f>
        <v>19.3</v>
      </c>
      <c r="D201" s="32">
        <f>(C201*1.24778761061)+(0.4)</f>
        <v>24.482300884773</v>
      </c>
      <c r="E201" s="33">
        <f>(C201*1.16814159292)+(-1)</f>
        <v>21.545132743356003</v>
      </c>
      <c r="F201" s="33">
        <f>(C201*1.1238938053)+(-4.4)</f>
        <v>17.291150442290004</v>
      </c>
      <c r="G201" s="33">
        <f>(C201*1.06194690265)+(-5.9)</f>
        <v>14.595575221144999</v>
      </c>
      <c r="H201" s="34">
        <f>(C201*1.19469026548)+(0)</f>
        <v>23.057522123764002</v>
      </c>
      <c r="I201" s="34">
        <f>(C201*1.16814159292)+(-2)</f>
        <v>20.545132743356003</v>
      </c>
      <c r="J201" s="34">
        <f>(C201*1.1238938053)+(-3.9)</f>
        <v>17.791150442290004</v>
      </c>
      <c r="K201" s="34">
        <f>(C201*1.07964601769)+(-5.6)</f>
        <v>15.237168141417003</v>
      </c>
    </row>
    <row r="202" spans="1:11" s="21" customFormat="1" ht="19.95" customHeight="1" x14ac:dyDescent="0.25">
      <c r="A202" s="13" t="str">
        <f>"50930"</f>
        <v>50930</v>
      </c>
      <c r="B202" s="14" t="s">
        <v>552</v>
      </c>
      <c r="C202" s="13" t="str">
        <f>"20.6"</f>
        <v>20.6</v>
      </c>
      <c r="D202" s="32">
        <f>(C202*1.24778761061)+(0.4)</f>
        <v>26.104424778566003</v>
      </c>
      <c r="E202" s="33">
        <f>(C202*1.16814159292)+(-1)</f>
        <v>23.063716814152002</v>
      </c>
      <c r="F202" s="33">
        <f>(C202*1.1238938053)+(-4.4)</f>
        <v>18.752212389180002</v>
      </c>
      <c r="G202" s="33">
        <f>(C202*1.06194690265)+(-5.9)</f>
        <v>15.976106194590001</v>
      </c>
      <c r="H202" s="34">
        <f>(C202*1.19469026548)+(0)</f>
        <v>24.610619468888</v>
      </c>
      <c r="I202" s="34">
        <f>(C202*1.16814159292)+(-2)</f>
        <v>22.063716814152002</v>
      </c>
      <c r="J202" s="34">
        <f>(C202*1.1238938053)+(-3.9)</f>
        <v>19.252212389180006</v>
      </c>
      <c r="K202" s="34">
        <f>(C202*1.07964601769)+(-5.6)</f>
        <v>16.640707964414005</v>
      </c>
    </row>
    <row r="203" spans="1:11" s="21" customFormat="1" ht="19.95" customHeight="1" x14ac:dyDescent="0.25">
      <c r="A203" s="13" t="str">
        <f>"15693"</f>
        <v>15693</v>
      </c>
      <c r="B203" s="14" t="s">
        <v>553</v>
      </c>
      <c r="C203" s="13" t="str">
        <f>"34.3"</f>
        <v>34.3</v>
      </c>
      <c r="D203" s="32">
        <f>(C203*1.24778761061)+(0.4)</f>
        <v>43.199115043923001</v>
      </c>
      <c r="E203" s="33">
        <f>(C203*1.16814159292)+(-1)</f>
        <v>39.067256637155999</v>
      </c>
      <c r="F203" s="33">
        <f>(C203*1.1238938053)+(-4.4)</f>
        <v>34.149557521790001</v>
      </c>
      <c r="G203" s="33">
        <f>(C203*1.06194690265)+(-5.9)</f>
        <v>30.524778760894996</v>
      </c>
      <c r="H203" s="34">
        <f>(C203*1.19469026548)+(0)</f>
        <v>40.977876105964</v>
      </c>
      <c r="I203" s="34">
        <f>(C203*1.16814159292)+(-2)</f>
        <v>38.067256637155999</v>
      </c>
      <c r="J203" s="34">
        <f>(C203*1.1238938053)+(-3.9)</f>
        <v>34.649557521790001</v>
      </c>
      <c r="K203" s="34">
        <f>(C203*1.07964601769)+(-5.6)</f>
        <v>31.431858406766999</v>
      </c>
    </row>
    <row r="204" spans="1:11" s="21" customFormat="1" ht="19.95" customHeight="1" x14ac:dyDescent="0.25">
      <c r="A204" s="13" t="str">
        <f>"43800"</f>
        <v>43800</v>
      </c>
      <c r="B204" s="14" t="s">
        <v>554</v>
      </c>
      <c r="C204" s="13" t="str">
        <f>"17.3"</f>
        <v>17.3</v>
      </c>
      <c r="D204" s="32">
        <f>(C204*1.24778761061)+(0.4)</f>
        <v>21.986725663553003</v>
      </c>
      <c r="E204" s="33">
        <f>(C204*1.16814159292)+(-1)</f>
        <v>19.208849557516004</v>
      </c>
      <c r="F204" s="33">
        <f>(C204*1.1238938053)+(-4.4)</f>
        <v>15.043362831690002</v>
      </c>
      <c r="G204" s="33">
        <f>(C204*1.06194690265)+(-5.9)</f>
        <v>12.471681415845</v>
      </c>
      <c r="H204" s="34">
        <f>(C204*1.19469026548)+(0)</f>
        <v>20.668141592804002</v>
      </c>
      <c r="I204" s="34">
        <f>(C204*1.16814159292)+(-2)</f>
        <v>18.208849557516004</v>
      </c>
      <c r="J204" s="34">
        <f>(C204*1.1238938053)+(-3.9)</f>
        <v>15.543362831690002</v>
      </c>
      <c r="K204" s="34">
        <f>(C204*1.07964601769)+(-5.6)</f>
        <v>13.077876106037001</v>
      </c>
    </row>
    <row r="205" spans="1:11" s="21" customFormat="1" ht="19.95" customHeight="1" x14ac:dyDescent="0.25">
      <c r="A205" s="13" t="str">
        <f>"15694"</f>
        <v>15694</v>
      </c>
      <c r="B205" s="14" t="s">
        <v>555</v>
      </c>
      <c r="C205" s="13" t="str">
        <f>"21.9"</f>
        <v>21.9</v>
      </c>
      <c r="D205" s="32">
        <f>(C205*1.24778761061)+(0.4)</f>
        <v>27.726548672358998</v>
      </c>
      <c r="E205" s="33">
        <f>(C205*1.16814159292)+(-1)</f>
        <v>24.582300884948001</v>
      </c>
      <c r="F205" s="33">
        <f>(C205*1.1238938053)+(-4.4)</f>
        <v>20.21327433607</v>
      </c>
      <c r="G205" s="33">
        <f>(C205*1.06194690265)+(-5.9)</f>
        <v>17.356637168034993</v>
      </c>
      <c r="H205" s="34">
        <f>(C205*1.19469026548)+(0)</f>
        <v>26.163716814011998</v>
      </c>
      <c r="I205" s="34">
        <f>(C205*1.16814159292)+(-2)</f>
        <v>23.582300884948001</v>
      </c>
      <c r="J205" s="34">
        <f>(C205*1.1238938053)+(-3.9)</f>
        <v>20.71327433607</v>
      </c>
      <c r="K205" s="34">
        <f>(C205*1.07964601769)+(-5.6)</f>
        <v>18.044247787411003</v>
      </c>
    </row>
    <row r="206" spans="1:11" s="21" customFormat="1" ht="19.95" customHeight="1" x14ac:dyDescent="0.25">
      <c r="A206" s="13" t="str">
        <f>"50172"</f>
        <v>50172</v>
      </c>
      <c r="B206" s="14" t="s">
        <v>556</v>
      </c>
      <c r="C206" s="13" t="str">
        <f>"12.3"</f>
        <v>12.3</v>
      </c>
      <c r="D206" s="32">
        <f>(C206*1.24778761061)+(0.4)</f>
        <v>15.747787610503002</v>
      </c>
      <c r="E206" s="33">
        <f>(C206*1.16814159292)+(-1)</f>
        <v>13.368141592916002</v>
      </c>
      <c r="F206" s="33">
        <f>(C206*1.1238938053)+(-4.4)</f>
        <v>9.4238938051900014</v>
      </c>
      <c r="G206" s="33">
        <f>(C206*1.06194690265)+(-5.9)</f>
        <v>7.161946902595</v>
      </c>
      <c r="H206" s="34">
        <f>(C206*1.19469026548)+(0)</f>
        <v>14.694690265404001</v>
      </c>
      <c r="I206" s="34">
        <f>(C206*1.16814159292)+(-2)</f>
        <v>12.368141592916002</v>
      </c>
      <c r="J206" s="34">
        <f>(C206*1.1238938053)+(-3.9)</f>
        <v>9.9238938051900014</v>
      </c>
      <c r="K206" s="34">
        <f>(C206*1.07964601769)+(-5.6)</f>
        <v>7.679646017587002</v>
      </c>
    </row>
    <row r="207" spans="1:11" s="21" customFormat="1" ht="19.95" customHeight="1" x14ac:dyDescent="0.25">
      <c r="A207" s="13" t="str">
        <f>"15695"</f>
        <v>15695</v>
      </c>
      <c r="B207" s="14" t="s">
        <v>557</v>
      </c>
      <c r="C207" s="13" t="str">
        <f>"11.3"</f>
        <v>11.3</v>
      </c>
      <c r="D207" s="32">
        <f>(C207*1.24778761061)+(0.4)</f>
        <v>14.499999999893003</v>
      </c>
      <c r="E207" s="33">
        <f>(C207*1.16814159292)+(-1)</f>
        <v>12.199999999996002</v>
      </c>
      <c r="F207" s="33">
        <f>(C207*1.1238938053)+(-4.4)</f>
        <v>8.2999999998900016</v>
      </c>
      <c r="G207" s="33">
        <f>(C207*1.06194690265)+(-5.9)</f>
        <v>6.0999999999450001</v>
      </c>
      <c r="H207" s="34">
        <f>(C207*1.19469026548)+(0)</f>
        <v>13.499999999924</v>
      </c>
      <c r="I207" s="34">
        <f>(C207*1.16814159292)+(-2)</f>
        <v>11.199999999996002</v>
      </c>
      <c r="J207" s="34">
        <f>(C207*1.1238938053)+(-3.9)</f>
        <v>8.7999999998900016</v>
      </c>
      <c r="K207" s="34">
        <f>(C207*1.07964601769)+(-5.6)</f>
        <v>6.5999999998970011</v>
      </c>
    </row>
    <row r="208" spans="1:11" s="21" customFormat="1" ht="19.95" customHeight="1" x14ac:dyDescent="0.25">
      <c r="A208" s="13" t="str">
        <f>"38687"</f>
        <v>38687</v>
      </c>
      <c r="B208" s="14" t="s">
        <v>558</v>
      </c>
      <c r="C208" s="13" t="str">
        <f>"21.9"</f>
        <v>21.9</v>
      </c>
      <c r="D208" s="32">
        <f>(C208*1.24778761061)+(0.4)</f>
        <v>27.726548672358998</v>
      </c>
      <c r="E208" s="33">
        <f>(C208*1.16814159292)+(-1)</f>
        <v>24.582300884948001</v>
      </c>
      <c r="F208" s="33">
        <f>(C208*1.1238938053)+(-4.4)</f>
        <v>20.21327433607</v>
      </c>
      <c r="G208" s="33">
        <f>(C208*1.06194690265)+(-5.9)</f>
        <v>17.356637168034993</v>
      </c>
      <c r="H208" s="34">
        <f>(C208*1.19469026548)+(0)</f>
        <v>26.163716814011998</v>
      </c>
      <c r="I208" s="34">
        <f>(C208*1.16814159292)+(-2)</f>
        <v>23.582300884948001</v>
      </c>
      <c r="J208" s="34">
        <f>(C208*1.1238938053)+(-3.9)</f>
        <v>20.71327433607</v>
      </c>
      <c r="K208" s="34">
        <f>(C208*1.07964601769)+(-5.6)</f>
        <v>18.044247787411003</v>
      </c>
    </row>
    <row r="209" spans="1:11" s="21" customFormat="1" ht="19.95" customHeight="1" x14ac:dyDescent="0.25">
      <c r="A209" s="13" t="str">
        <f>"15698"</f>
        <v>15698</v>
      </c>
      <c r="B209" s="14" t="s">
        <v>559</v>
      </c>
      <c r="C209" s="13" t="str">
        <f>"32.4"</f>
        <v>32.4</v>
      </c>
      <c r="D209" s="32">
        <f>(C209*1.24778761061)+(0.4)</f>
        <v>40.828318583764002</v>
      </c>
      <c r="E209" s="33">
        <f>(C209*1.16814159292)+(-1)</f>
        <v>36.847787610608002</v>
      </c>
      <c r="F209" s="33">
        <f>(C209*1.1238938053)+(-4.4)</f>
        <v>32.014159291719999</v>
      </c>
      <c r="G209" s="33">
        <f>(C209*1.06194690265)+(-5.9)</f>
        <v>28.507079645859996</v>
      </c>
      <c r="H209" s="34">
        <f>(C209*1.19469026548)+(0)</f>
        <v>38.707964601552</v>
      </c>
      <c r="I209" s="34">
        <f>(C209*1.16814159292)+(-2)</f>
        <v>35.847787610608002</v>
      </c>
      <c r="J209" s="34">
        <f>(C209*1.1238938053)+(-3.9)</f>
        <v>32.514159291719999</v>
      </c>
      <c r="K209" s="34">
        <f>(C209*1.07964601769)+(-5.6)</f>
        <v>29.380530973155999</v>
      </c>
    </row>
    <row r="210" spans="1:11" s="21" customFormat="1" ht="19.95" customHeight="1" x14ac:dyDescent="0.25">
      <c r="A210" s="13" t="str">
        <f>"15699"</f>
        <v>15699</v>
      </c>
      <c r="B210" s="14" t="s">
        <v>560</v>
      </c>
      <c r="C210" s="13" t="str">
        <f>"29.5"</f>
        <v>29.5</v>
      </c>
      <c r="D210" s="32">
        <f>(C210*1.24778761061)+(0.4)</f>
        <v>37.209734512994999</v>
      </c>
      <c r="E210" s="33">
        <f>(C210*1.16814159292)+(-1)</f>
        <v>33.460176991140003</v>
      </c>
      <c r="F210" s="33">
        <f>(C210*1.1238938053)+(-4.4)</f>
        <v>28.754867256350003</v>
      </c>
      <c r="G210" s="33">
        <f>(C210*1.06194690265)+(-5.9)</f>
        <v>25.427433628174995</v>
      </c>
      <c r="H210" s="34">
        <f>(C210*1.19469026548)+(0)</f>
        <v>35.243362831660001</v>
      </c>
      <c r="I210" s="34">
        <f>(C210*1.16814159292)+(-2)</f>
        <v>32.460176991140003</v>
      </c>
      <c r="J210" s="34">
        <f>(C210*1.1238938053)+(-3.9)</f>
        <v>29.254867256350003</v>
      </c>
      <c r="K210" s="34">
        <f>(C210*1.07964601769)+(-5.6)</f>
        <v>26.249557521855003</v>
      </c>
    </row>
    <row r="211" spans="1:11" s="21" customFormat="1" ht="19.95" customHeight="1" x14ac:dyDescent="0.25">
      <c r="A211" s="13" t="str">
        <f>"20934"</f>
        <v>20934</v>
      </c>
      <c r="B211" s="14" t="s">
        <v>561</v>
      </c>
      <c r="C211" s="13" t="str">
        <f>"27.2"</f>
        <v>27.2</v>
      </c>
      <c r="D211" s="32">
        <f>(C211*1.24778761061)+(0.4)</f>
        <v>34.339823008591999</v>
      </c>
      <c r="E211" s="33">
        <f>(C211*1.16814159292)+(-1)</f>
        <v>30.773451327424002</v>
      </c>
      <c r="F211" s="33">
        <f>(C211*1.1238938053)+(-4.4)</f>
        <v>26.169911504159998</v>
      </c>
      <c r="G211" s="33">
        <f>(C211*1.06194690265)+(-5.9)</f>
        <v>22.984955752079998</v>
      </c>
      <c r="H211" s="34">
        <f>(C211*1.19469026548)+(0)</f>
        <v>32.495575221056001</v>
      </c>
      <c r="I211" s="34">
        <f>(C211*1.16814159292)+(-2)</f>
        <v>29.773451327424002</v>
      </c>
      <c r="J211" s="34">
        <f>(C211*1.1238938053)+(-3.9)</f>
        <v>26.669911504160002</v>
      </c>
      <c r="K211" s="34">
        <f>(C211*1.07964601769)+(-5.6)</f>
        <v>23.766371681168003</v>
      </c>
    </row>
    <row r="212" spans="1:11" s="21" customFormat="1" ht="19.95" customHeight="1" x14ac:dyDescent="0.25">
      <c r="A212" s="13" t="str">
        <f>"34359"</f>
        <v>34359</v>
      </c>
      <c r="B212" s="14" t="s">
        <v>562</v>
      </c>
      <c r="C212" s="13" t="str">
        <f>"30.8"</f>
        <v>30.8</v>
      </c>
      <c r="D212" s="32">
        <f>(C212*1.24778761061)+(0.4)</f>
        <v>38.831858406788001</v>
      </c>
      <c r="E212" s="33">
        <f>(C212*1.16814159292)+(-1)</f>
        <v>34.978761061936005</v>
      </c>
      <c r="F212" s="33">
        <f>(C212*1.1238938053)+(-4.4)</f>
        <v>30.215929203240002</v>
      </c>
      <c r="G212" s="33">
        <f>(C212*1.06194690265)+(-5.9)</f>
        <v>26.80796460162</v>
      </c>
      <c r="H212" s="34">
        <f>(C212*1.19469026548)+(0)</f>
        <v>36.796460176784002</v>
      </c>
      <c r="I212" s="34">
        <f>(C212*1.16814159292)+(-2)</f>
        <v>33.978761061936005</v>
      </c>
      <c r="J212" s="34">
        <f>(C212*1.1238938053)+(-3.9)</f>
        <v>30.715929203240002</v>
      </c>
      <c r="K212" s="34">
        <f>(C212*1.07964601769)+(-5.6)</f>
        <v>27.653097344852</v>
      </c>
    </row>
    <row r="213" spans="1:11" s="21" customFormat="1" ht="19.95" customHeight="1" x14ac:dyDescent="0.25">
      <c r="A213" s="13" t="str">
        <f>"1008253"</f>
        <v>1008253</v>
      </c>
      <c r="B213" s="14" t="s">
        <v>563</v>
      </c>
      <c r="C213" s="13" t="s">
        <v>76</v>
      </c>
      <c r="D213" s="32" t="s">
        <v>77</v>
      </c>
      <c r="E213" s="33" t="s">
        <v>77</v>
      </c>
      <c r="F213" s="33" t="s">
        <v>77</v>
      </c>
      <c r="G213" s="33" t="s">
        <v>77</v>
      </c>
      <c r="H213" s="34" t="s">
        <v>77</v>
      </c>
      <c r="I213" s="34" t="s">
        <v>77</v>
      </c>
      <c r="J213" s="34" t="s">
        <v>77</v>
      </c>
      <c r="K213" s="34" t="s">
        <v>77</v>
      </c>
    </row>
    <row r="214" spans="1:11" s="21" customFormat="1" ht="19.95" customHeight="1" x14ac:dyDescent="0.25">
      <c r="A214" s="13" t="str">
        <f>"81059"</f>
        <v>81059</v>
      </c>
      <c r="B214" s="14" t="s">
        <v>564</v>
      </c>
      <c r="C214" s="13" t="str">
        <f>"29.3"</f>
        <v>29.3</v>
      </c>
      <c r="D214" s="32">
        <f>(C214*1.24778761061)+(0.4)</f>
        <v>36.960176990873002</v>
      </c>
      <c r="E214" s="33">
        <f>(C214*1.16814159292)+(-1)</f>
        <v>33.226548672556007</v>
      </c>
      <c r="F214" s="33">
        <f>(C214*1.1238938053)+(-4.4)</f>
        <v>28.530088495290002</v>
      </c>
      <c r="G214" s="33">
        <f>(C214*1.06194690265)+(-5.9)</f>
        <v>25.215044247644997</v>
      </c>
      <c r="H214" s="34">
        <f>(C214*1.19469026548)+(0)</f>
        <v>35.004424778564001</v>
      </c>
      <c r="I214" s="34">
        <f>(C214*1.16814159292)+(-2)</f>
        <v>32.226548672556007</v>
      </c>
      <c r="J214" s="34">
        <f>(C214*1.1238938053)+(-3.9)</f>
        <v>29.030088495290002</v>
      </c>
      <c r="K214" s="34">
        <f>(C214*1.07964601769)+(-5.6)</f>
        <v>26.033628318317</v>
      </c>
    </row>
    <row r="215" spans="1:11" s="21" customFormat="1" ht="19.95" customHeight="1" x14ac:dyDescent="0.25">
      <c r="A215" s="13" t="str">
        <f>"15705"</f>
        <v>15705</v>
      </c>
      <c r="B215" s="14" t="s">
        <v>565</v>
      </c>
      <c r="C215" s="13" t="str">
        <f>"23.0"</f>
        <v>23.0</v>
      </c>
      <c r="D215" s="32">
        <f>(C215*1.24778761061)+(0.4)</f>
        <v>29.09911504403</v>
      </c>
      <c r="E215" s="33">
        <f>(C215*1.16814159292)+(-1)</f>
        <v>25.867256637160001</v>
      </c>
      <c r="F215" s="33">
        <f>(C215*1.1238938053)+(-4.4)</f>
        <v>21.449557521899997</v>
      </c>
      <c r="G215" s="33">
        <f>(C215*1.06194690265)+(-5.9)</f>
        <v>18.524778760949999</v>
      </c>
      <c r="H215" s="34">
        <f>(C215*1.19469026548)+(0)</f>
        <v>27.47787610604</v>
      </c>
      <c r="I215" s="34">
        <f>(C215*1.16814159292)+(-2)</f>
        <v>24.867256637160001</v>
      </c>
      <c r="J215" s="34">
        <f>(C215*1.1238938053)+(-3.9)</f>
        <v>21.949557521900001</v>
      </c>
      <c r="K215" s="34">
        <f>(C215*1.07964601769)+(-5.6)</f>
        <v>19.231858406870003</v>
      </c>
    </row>
    <row r="216" spans="1:11" s="21" customFormat="1" ht="19.95" customHeight="1" x14ac:dyDescent="0.25">
      <c r="A216" s="13" t="str">
        <f>"15706"</f>
        <v>15706</v>
      </c>
      <c r="B216" s="14" t="s">
        <v>566</v>
      </c>
      <c r="C216" s="13" t="str">
        <f>"10.3"</f>
        <v>10.3</v>
      </c>
      <c r="D216" s="32">
        <f>(C216*1.24778761061)+(0.4)</f>
        <v>13.252212389283002</v>
      </c>
      <c r="E216" s="33">
        <f>(C216*1.16814159292)+(-1)</f>
        <v>11.031858407076001</v>
      </c>
      <c r="F216" s="33">
        <f>(C216*1.1238938053)+(-4.4)</f>
        <v>7.1761061945900018</v>
      </c>
      <c r="G216" s="33">
        <f>(C216*1.06194690265)+(-5.9)</f>
        <v>5.0380530972950002</v>
      </c>
      <c r="H216" s="34">
        <f>(C216*1.19469026548)+(0)</f>
        <v>12.305309734444</v>
      </c>
      <c r="I216" s="34">
        <f>(C216*1.16814159292)+(-2)</f>
        <v>10.031858407076001</v>
      </c>
      <c r="J216" s="34">
        <f>(C216*1.1238938053)+(-3.9)</f>
        <v>7.6761061945900018</v>
      </c>
      <c r="K216" s="34">
        <f>(C216*1.07964601769)+(-5.6)</f>
        <v>5.520353982207002</v>
      </c>
    </row>
    <row r="217" spans="1:11" s="21" customFormat="1" ht="19.95" customHeight="1" x14ac:dyDescent="0.25">
      <c r="A217" s="13" t="str">
        <f>"74117"</f>
        <v>74117</v>
      </c>
      <c r="B217" s="14" t="s">
        <v>567</v>
      </c>
      <c r="C217" s="13" t="str">
        <f>"16.0"</f>
        <v>16.0</v>
      </c>
      <c r="D217" s="32">
        <f>(C217*1.24778761061)+(0.4)</f>
        <v>20.36460176976</v>
      </c>
      <c r="E217" s="33">
        <f>(C217*1.16814159292)+(-1)</f>
        <v>17.690265486720001</v>
      </c>
      <c r="F217" s="33">
        <f>(C217*1.1238938053)+(-4.4)</f>
        <v>13.5823008848</v>
      </c>
      <c r="G217" s="33">
        <f>(C217*1.06194690265)+(-5.9)</f>
        <v>11.091150442399998</v>
      </c>
      <c r="H217" s="34">
        <f>(C217*1.19469026548)+(0)</f>
        <v>19.11504424768</v>
      </c>
      <c r="I217" s="34">
        <f>(C217*1.16814159292)+(-2)</f>
        <v>16.690265486720001</v>
      </c>
      <c r="J217" s="34">
        <f>(C217*1.1238938053)+(-3.9)</f>
        <v>14.0823008848</v>
      </c>
      <c r="K217" s="34">
        <f>(C217*1.07964601769)+(-5.6)</f>
        <v>11.674336283040001</v>
      </c>
    </row>
    <row r="218" spans="1:11" s="21" customFormat="1" ht="19.95" customHeight="1" x14ac:dyDescent="0.25">
      <c r="A218" s="13" t="str">
        <f>"15707"</f>
        <v>15707</v>
      </c>
      <c r="B218" s="14" t="s">
        <v>568</v>
      </c>
      <c r="C218" s="13" t="str">
        <f>"19.6"</f>
        <v>19.6</v>
      </c>
      <c r="D218" s="32">
        <f>(C218*1.24778761061)+(0.4)</f>
        <v>24.856637167956002</v>
      </c>
      <c r="E218" s="33">
        <f>(C218*1.16814159292)+(-1)</f>
        <v>21.895575221232004</v>
      </c>
      <c r="F218" s="33">
        <f>(C218*1.1238938053)+(-4.4)</f>
        <v>17.628318583880002</v>
      </c>
      <c r="G218" s="33">
        <f>(C218*1.06194690265)+(-5.9)</f>
        <v>14.914159291940001</v>
      </c>
      <c r="H218" s="34">
        <f>(C218*1.19469026548)+(0)</f>
        <v>23.415929203408002</v>
      </c>
      <c r="I218" s="34">
        <f>(C218*1.16814159292)+(-2)</f>
        <v>20.895575221232004</v>
      </c>
      <c r="J218" s="34">
        <f>(C218*1.1238938053)+(-3.9)</f>
        <v>18.128318583880002</v>
      </c>
      <c r="K218" s="34">
        <f>(C218*1.07964601769)+(-5.6)</f>
        <v>15.561061946724001</v>
      </c>
    </row>
    <row r="219" spans="1:11" s="21" customFormat="1" ht="19.95" customHeight="1" x14ac:dyDescent="0.25">
      <c r="A219" s="13" t="str">
        <f>"1009395"</f>
        <v>1009395</v>
      </c>
      <c r="B219" s="14" t="s">
        <v>569</v>
      </c>
      <c r="C219" s="13" t="str">
        <f>"25.4"</f>
        <v>25.4</v>
      </c>
      <c r="D219" s="32">
        <f>(C219*1.24778761061)+(0.4)</f>
        <v>32.093805309494002</v>
      </c>
      <c r="E219" s="33">
        <f>(C219*1.16814159292)+(-1)</f>
        <v>28.670796460167999</v>
      </c>
      <c r="F219" s="33">
        <f>(C219*1.1238938053)+(-4.4)</f>
        <v>24.14690265462</v>
      </c>
      <c r="G219" s="33">
        <f>(C219*1.06194690265)+(-5.9)</f>
        <v>21.073451327309996</v>
      </c>
      <c r="H219" s="34">
        <f>(C219*1.19469026548)+(0)</f>
        <v>30.345132743192</v>
      </c>
      <c r="I219" s="34">
        <f>(C219*1.16814159292)+(-2)</f>
        <v>27.670796460167999</v>
      </c>
      <c r="J219" s="34">
        <f>(C219*1.1238938053)+(-3.9)</f>
        <v>24.64690265462</v>
      </c>
      <c r="K219" s="34">
        <f>(C219*1.07964601769)+(-5.6)</f>
        <v>21.823008849326001</v>
      </c>
    </row>
    <row r="220" spans="1:11" s="21" customFormat="1" ht="19.95" customHeight="1" x14ac:dyDescent="0.25">
      <c r="A220" s="13" t="str">
        <f>"1009394"</f>
        <v>1009394</v>
      </c>
      <c r="B220" s="14" t="s">
        <v>570</v>
      </c>
      <c r="C220" s="13" t="str">
        <f>"18.2"</f>
        <v>18.2</v>
      </c>
      <c r="D220" s="32">
        <f>(C220*1.24778761061)+(0.4)</f>
        <v>23.109734513101998</v>
      </c>
      <c r="E220" s="33">
        <f>(C220*1.16814159292)+(-1)</f>
        <v>20.260176991144</v>
      </c>
      <c r="F220" s="33">
        <f>(C220*1.1238938053)+(-4.4)</f>
        <v>16.05486725646</v>
      </c>
      <c r="G220" s="33">
        <f>(C220*1.06194690265)+(-5.9)</f>
        <v>13.427433628229997</v>
      </c>
      <c r="H220" s="34">
        <f>(C220*1.19469026548)+(0)</f>
        <v>21.743362831736</v>
      </c>
      <c r="I220" s="34">
        <f>(C220*1.16814159292)+(-2)</f>
        <v>19.260176991144</v>
      </c>
      <c r="J220" s="34">
        <f>(C220*1.1238938053)+(-3.9)</f>
        <v>16.554867256460003</v>
      </c>
      <c r="K220" s="34">
        <f>(C220*1.07964601769)+(-5.6)</f>
        <v>14.049557521957999</v>
      </c>
    </row>
    <row r="221" spans="1:11" s="21" customFormat="1" ht="19.95" customHeight="1" x14ac:dyDescent="0.25">
      <c r="A221" s="13" t="str">
        <f>"43636"</f>
        <v>43636</v>
      </c>
      <c r="B221" s="14" t="s">
        <v>571</v>
      </c>
      <c r="C221" s="13" t="str">
        <f>"27.5"</f>
        <v>27.5</v>
      </c>
      <c r="D221" s="32">
        <f>(C221*1.24778761061)+(0.4)</f>
        <v>34.714159291775005</v>
      </c>
      <c r="E221" s="33">
        <f>(C221*1.16814159292)+(-1)</f>
        <v>31.1238938053</v>
      </c>
      <c r="F221" s="33">
        <f>(C221*1.1238938053)+(-4.4)</f>
        <v>26.507079645750004</v>
      </c>
      <c r="G221" s="33">
        <f>(C221*1.06194690265)+(-5.9)</f>
        <v>23.303539822874995</v>
      </c>
      <c r="H221" s="34">
        <f>(C221*1.19469026548)+(0)</f>
        <v>32.853982300700004</v>
      </c>
      <c r="I221" s="34">
        <f>(C221*1.16814159292)+(-2)</f>
        <v>30.1238938053</v>
      </c>
      <c r="J221" s="34">
        <f>(C221*1.1238938053)+(-3.9)</f>
        <v>27.007079645750004</v>
      </c>
      <c r="K221" s="34">
        <f>(C221*1.07964601769)+(-5.6)</f>
        <v>24.090265486474998</v>
      </c>
    </row>
    <row r="222" spans="1:11" s="21" customFormat="1" ht="19.95" customHeight="1" x14ac:dyDescent="0.25">
      <c r="A222" s="13" t="str">
        <f>"42807"</f>
        <v>42807</v>
      </c>
      <c r="B222" s="14" t="s">
        <v>572</v>
      </c>
      <c r="C222" s="13" t="str">
        <f>"23.8"</f>
        <v>23.8</v>
      </c>
      <c r="D222" s="32">
        <f>(C222*1.24778761061)+(0.4)</f>
        <v>30.097345132518001</v>
      </c>
      <c r="E222" s="33">
        <f>(C222*1.16814159292)+(-1)</f>
        <v>26.801769911496002</v>
      </c>
      <c r="F222" s="33">
        <f>(C222*1.1238938053)+(-4.4)</f>
        <v>22.348672566140003</v>
      </c>
      <c r="G222" s="33">
        <f>(C222*1.06194690265)+(-5.9)</f>
        <v>19.374336283070001</v>
      </c>
      <c r="H222" s="34">
        <f>(C222*1.19469026548)+(0)</f>
        <v>28.433628318424002</v>
      </c>
      <c r="I222" s="34">
        <f>(C222*1.16814159292)+(-2)</f>
        <v>25.801769911496002</v>
      </c>
      <c r="J222" s="34">
        <f>(C222*1.1238938053)+(-3.9)</f>
        <v>22.848672566140003</v>
      </c>
      <c r="K222" s="34">
        <f>(C222*1.07964601769)+(-5.6)</f>
        <v>20.095575221022003</v>
      </c>
    </row>
    <row r="223" spans="1:11" s="21" customFormat="1" ht="19.95" customHeight="1" x14ac:dyDescent="0.25">
      <c r="A223" s="13" t="str">
        <f>"412"</f>
        <v>412</v>
      </c>
      <c r="B223" s="14" t="s">
        <v>573</v>
      </c>
      <c r="C223" s="13" t="str">
        <f>"8.0"</f>
        <v>8.0</v>
      </c>
      <c r="D223" s="32">
        <f>(C223*1.24778761061)+(0.4)</f>
        <v>10.382300884880001</v>
      </c>
      <c r="E223" s="33">
        <f>(C223*1.16814159292)+(-1)</f>
        <v>8.3451327433600007</v>
      </c>
      <c r="F223" s="33">
        <f>(C223*1.1238938053)+(-4.4)</f>
        <v>4.5911504424</v>
      </c>
      <c r="G223" s="33">
        <f>(C223*1.06194690265)+(-5.9)</f>
        <v>2.5955752211999989</v>
      </c>
      <c r="H223" s="34">
        <f>(C223*1.19469026548)+(0)</f>
        <v>9.5575221238400001</v>
      </c>
      <c r="I223" s="34">
        <f>(C223*1.16814159292)+(-2)</f>
        <v>7.3451327433600007</v>
      </c>
      <c r="J223" s="34">
        <f>(C223*1.1238938053)+(-3.9)</f>
        <v>5.0911504424</v>
      </c>
      <c r="K223" s="34">
        <f>(C223*1.07964601769)+(-5.6)</f>
        <v>3.0371681415200005</v>
      </c>
    </row>
    <row r="224" spans="1:11" s="21" customFormat="1" ht="19.95" customHeight="1" x14ac:dyDescent="0.25">
      <c r="A224" s="13" t="str">
        <f>"50037"</f>
        <v>50037</v>
      </c>
      <c r="B224" s="14" t="s">
        <v>574</v>
      </c>
      <c r="C224" s="13" t="str">
        <f>"10.1"</f>
        <v>10.1</v>
      </c>
      <c r="D224" s="32">
        <f>(C224*1.24778761061)+(0.4)</f>
        <v>13.002654867161</v>
      </c>
      <c r="E224" s="33">
        <f>(C224*1.16814159292)+(-1)</f>
        <v>10.798230088492</v>
      </c>
      <c r="F224" s="33">
        <f>(C224*1.1238938053)+(-4.4)</f>
        <v>6.9513274335300004</v>
      </c>
      <c r="G224" s="33">
        <f>(C224*1.06194690265)+(-5.9)</f>
        <v>4.8256637167649981</v>
      </c>
      <c r="H224" s="34">
        <f>(C224*1.19469026548)+(0)</f>
        <v>12.066371681348</v>
      </c>
      <c r="I224" s="34">
        <f>(C224*1.16814159292)+(-2)</f>
        <v>9.7982300884919997</v>
      </c>
      <c r="J224" s="34">
        <f>(C224*1.1238938053)+(-3.9)</f>
        <v>7.4513274335300004</v>
      </c>
      <c r="K224" s="34">
        <f>(C224*1.07964601769)+(-5.6)</f>
        <v>5.3044247786690004</v>
      </c>
    </row>
    <row r="225" spans="1:11" s="21" customFormat="1" ht="19.95" customHeight="1" x14ac:dyDescent="0.25">
      <c r="A225" s="13" t="str">
        <f>"73577"</f>
        <v>73577</v>
      </c>
      <c r="B225" s="14" t="s">
        <v>575</v>
      </c>
      <c r="C225" s="13" t="str">
        <f>"17.0"</f>
        <v>17.0</v>
      </c>
      <c r="D225" s="32">
        <f>(C225*1.24778761061)+(0.4)</f>
        <v>21.612389380370001</v>
      </c>
      <c r="E225" s="33">
        <f>(C225*1.16814159292)+(-1)</f>
        <v>18.858407079640003</v>
      </c>
      <c r="F225" s="33">
        <f>(C225*1.1238938053)+(-4.4)</f>
        <v>14.7061946901</v>
      </c>
      <c r="G225" s="33">
        <f>(C225*1.06194690265)+(-5.9)</f>
        <v>12.153097345049998</v>
      </c>
      <c r="H225" s="34">
        <f>(C225*1.19469026548)+(0)</f>
        <v>20.309734513159999</v>
      </c>
      <c r="I225" s="34">
        <f>(C225*1.16814159292)+(-2)</f>
        <v>17.858407079640003</v>
      </c>
      <c r="J225" s="34">
        <f>(C225*1.1238938053)+(-3.9)</f>
        <v>15.2061946901</v>
      </c>
      <c r="K225" s="34">
        <f>(C225*1.07964601769)+(-5.6)</f>
        <v>12.75398230073</v>
      </c>
    </row>
    <row r="226" spans="1:11" s="21" customFormat="1" ht="19.95" customHeight="1" x14ac:dyDescent="0.25">
      <c r="A226" s="13" t="str">
        <f>"42609"</f>
        <v>42609</v>
      </c>
      <c r="B226" s="14" t="s">
        <v>576</v>
      </c>
      <c r="C226" s="13" t="str">
        <f>"18.3"</f>
        <v>18.3</v>
      </c>
      <c r="D226" s="32">
        <f>(C226*1.24778761061)+(0.4)</f>
        <v>23.234513274163</v>
      </c>
      <c r="E226" s="33">
        <f>(C226*1.16814159292)+(-1)</f>
        <v>20.376991150436002</v>
      </c>
      <c r="F226" s="33">
        <f>(C226*1.1238938053)+(-4.4)</f>
        <v>16.167256636990004</v>
      </c>
      <c r="G226" s="33">
        <f>(C226*1.06194690265)+(-5.9)</f>
        <v>13.533628318494999</v>
      </c>
      <c r="H226" s="34">
        <f>(C226*1.19469026548)+(0)</f>
        <v>21.862831858284</v>
      </c>
      <c r="I226" s="34">
        <f>(C226*1.16814159292)+(-2)</f>
        <v>19.376991150436002</v>
      </c>
      <c r="J226" s="34">
        <f>(C226*1.1238938053)+(-3.9)</f>
        <v>16.667256636990004</v>
      </c>
      <c r="K226" s="34">
        <f>(C226*1.07964601769)+(-5.6)</f>
        <v>14.157522123727</v>
      </c>
    </row>
    <row r="227" spans="1:11" s="21" customFormat="1" ht="19.95" customHeight="1" x14ac:dyDescent="0.25">
      <c r="A227" s="13" t="str">
        <f>"77289"</f>
        <v>77289</v>
      </c>
      <c r="B227" s="14" t="s">
        <v>577</v>
      </c>
      <c r="C227" s="13" t="str">
        <f>"47.1"</f>
        <v>47.1</v>
      </c>
      <c r="D227" s="32">
        <f>(C227*1.24778761061)+(0.4)</f>
        <v>59.170796459731008</v>
      </c>
      <c r="E227" s="33">
        <f>(C227*1.16814159292)+(-1)</f>
        <v>54.019469026532008</v>
      </c>
      <c r="F227" s="33">
        <f>(C227*1.1238938053)+(-4.4)</f>
        <v>48.535398229630005</v>
      </c>
      <c r="G227" s="33">
        <f>(C227*1.06194690265)+(-5.9)</f>
        <v>44.117699114814997</v>
      </c>
      <c r="H227" s="34">
        <f>(C227*1.19469026548)+(0)</f>
        <v>56.269911504108002</v>
      </c>
      <c r="I227" s="34">
        <f>(C227*1.16814159292)+(-2)</f>
        <v>53.019469026532008</v>
      </c>
      <c r="J227" s="34">
        <f>(C227*1.1238938053)+(-3.9)</f>
        <v>49.035398229630005</v>
      </c>
      <c r="K227" s="34">
        <f>(C227*1.07964601769)+(-5.6)</f>
        <v>45.251327433199002</v>
      </c>
    </row>
    <row r="228" spans="1:11" s="21" customFormat="1" ht="19.95" customHeight="1" x14ac:dyDescent="0.25">
      <c r="A228" s="13" t="str">
        <f>"1003938"</f>
        <v>1003938</v>
      </c>
      <c r="B228" s="14" t="s">
        <v>578</v>
      </c>
      <c r="C228" s="13" t="str">
        <f>"32.5"</f>
        <v>32.5</v>
      </c>
      <c r="D228" s="32">
        <f>(C228*1.24778761061)+(0.4)</f>
        <v>40.953097344825004</v>
      </c>
      <c r="E228" s="33">
        <f>(C228*1.16814159292)+(-1)</f>
        <v>36.9646017699</v>
      </c>
      <c r="F228" s="33">
        <f>(C228*1.1238938053)+(-4.4)</f>
        <v>32.126548672250003</v>
      </c>
      <c r="G228" s="33">
        <f>(C228*1.06194690265)+(-5.9)</f>
        <v>28.613274336124995</v>
      </c>
      <c r="H228" s="34">
        <f>(C228*1.19469026548)+(0)</f>
        <v>38.827433628100003</v>
      </c>
      <c r="I228" s="34">
        <f>(C228*1.16814159292)+(-2)</f>
        <v>35.9646017699</v>
      </c>
      <c r="J228" s="34">
        <f>(C228*1.1238938053)+(-3.9)</f>
        <v>32.626548672250003</v>
      </c>
      <c r="K228" s="34">
        <f>(C228*1.07964601769)+(-5.6)</f>
        <v>29.488495574924997</v>
      </c>
    </row>
    <row r="229" spans="1:11" s="21" customFormat="1" ht="19.95" customHeight="1" x14ac:dyDescent="0.25">
      <c r="A229" s="13" t="str">
        <f>"40442"</f>
        <v>40442</v>
      </c>
      <c r="B229" s="14" t="s">
        <v>579</v>
      </c>
      <c r="C229" s="13" t="str">
        <f>"11.8"</f>
        <v>11.8</v>
      </c>
      <c r="D229" s="32">
        <f>(C229*1.24778761061)+(0.4)</f>
        <v>15.123893805198003</v>
      </c>
      <c r="E229" s="33">
        <f>(C229*1.16814159292)+(-1)</f>
        <v>12.784070796456001</v>
      </c>
      <c r="F229" s="33">
        <f>(C229*1.1238938053)+(-4.4)</f>
        <v>8.8619469025400015</v>
      </c>
      <c r="G229" s="33">
        <f>(C229*1.06194690265)+(-5.9)</f>
        <v>6.63097345127</v>
      </c>
      <c r="H229" s="34">
        <f>(C229*1.19469026548)+(0)</f>
        <v>14.097345132664001</v>
      </c>
      <c r="I229" s="34">
        <f>(C229*1.16814159292)+(-2)</f>
        <v>11.784070796456001</v>
      </c>
      <c r="J229" s="34">
        <f>(C229*1.1238938053)+(-3.9)</f>
        <v>9.3619469025400015</v>
      </c>
      <c r="K229" s="34">
        <f>(C229*1.07964601769)+(-5.6)</f>
        <v>7.1398230087420007</v>
      </c>
    </row>
    <row r="230" spans="1:11" s="21" customFormat="1" ht="19.95" customHeight="1" x14ac:dyDescent="0.25">
      <c r="A230" s="13" t="str">
        <f>"15715"</f>
        <v>15715</v>
      </c>
      <c r="B230" s="14" t="s">
        <v>580</v>
      </c>
      <c r="C230" s="13" t="str">
        <f>"29.7"</f>
        <v>29.7</v>
      </c>
      <c r="D230" s="32">
        <f>(C230*1.24778761061)+(0.4)</f>
        <v>37.459292035117002</v>
      </c>
      <c r="E230" s="33">
        <f>(C230*1.16814159292)+(-1)</f>
        <v>33.693805309723999</v>
      </c>
      <c r="F230" s="33">
        <f>(C230*1.1238938053)+(-4.4)</f>
        <v>28.979646017410005</v>
      </c>
      <c r="G230" s="33">
        <f>(C230*1.06194690265)+(-5.9)</f>
        <v>25.639823008704994</v>
      </c>
      <c r="H230" s="34">
        <f>(C230*1.19469026548)+(0)</f>
        <v>35.482300884756</v>
      </c>
      <c r="I230" s="34">
        <f>(C230*1.16814159292)+(-2)</f>
        <v>32.693805309723999</v>
      </c>
      <c r="J230" s="34">
        <f>(C230*1.1238938053)+(-3.9)</f>
        <v>29.479646017410005</v>
      </c>
      <c r="K230" s="34">
        <f>(C230*1.07964601769)+(-5.6)</f>
        <v>26.465486725392999</v>
      </c>
    </row>
    <row r="231" spans="1:11" s="21" customFormat="1" ht="19.95" customHeight="1" x14ac:dyDescent="0.25">
      <c r="A231" s="13" t="str">
        <f>"44488"</f>
        <v>44488</v>
      </c>
      <c r="B231" s="14" t="s">
        <v>581</v>
      </c>
      <c r="C231" s="13" t="str">
        <f>"15.8"</f>
        <v>15.8</v>
      </c>
      <c r="D231" s="32">
        <f>(C231*1.24778761061)+(0.4)</f>
        <v>20.115044247638</v>
      </c>
      <c r="E231" s="33">
        <f>(C231*1.16814159292)+(-1)</f>
        <v>17.456637168136002</v>
      </c>
      <c r="F231" s="33">
        <f>(C231*1.1238938053)+(-4.4)</f>
        <v>13.357522123740003</v>
      </c>
      <c r="G231" s="33">
        <f>(C231*1.06194690265)+(-5.9)</f>
        <v>10.87876106187</v>
      </c>
      <c r="H231" s="34">
        <f>(C231*1.19469026548)+(0)</f>
        <v>18.876106194584001</v>
      </c>
      <c r="I231" s="34">
        <f>(C231*1.16814159292)+(-2)</f>
        <v>16.456637168136002</v>
      </c>
      <c r="J231" s="34">
        <f>(C231*1.1238938053)+(-3.9)</f>
        <v>13.857522123740003</v>
      </c>
      <c r="K231" s="34">
        <f>(C231*1.07964601769)+(-5.6)</f>
        <v>11.458407079502001</v>
      </c>
    </row>
    <row r="232" spans="1:11" s="21" customFormat="1" ht="19.95" customHeight="1" x14ac:dyDescent="0.25">
      <c r="A232" s="13" t="str">
        <f>"15716"</f>
        <v>15716</v>
      </c>
      <c r="B232" s="14" t="s">
        <v>582</v>
      </c>
      <c r="C232" s="13" t="str">
        <f>"18.8"</f>
        <v>18.8</v>
      </c>
      <c r="D232" s="32">
        <f>(C232*1.24778761061)+(0.4)</f>
        <v>23.858407079468002</v>
      </c>
      <c r="E232" s="33">
        <f>(C232*1.16814159292)+(-1)</f>
        <v>20.961061946896002</v>
      </c>
      <c r="F232" s="33">
        <f>(C232*1.1238938053)+(-4.4)</f>
        <v>16.729203539640004</v>
      </c>
      <c r="G232" s="33">
        <f>(C232*1.06194690265)+(-5.9)</f>
        <v>14.064601769819999</v>
      </c>
      <c r="H232" s="34">
        <f>(C232*1.19469026548)+(0)</f>
        <v>22.460176991023999</v>
      </c>
      <c r="I232" s="34">
        <f>(C232*1.16814159292)+(-2)</f>
        <v>19.961061946896002</v>
      </c>
      <c r="J232" s="34">
        <f>(C232*1.1238938053)+(-3.9)</f>
        <v>17.229203539640004</v>
      </c>
      <c r="K232" s="34">
        <f>(C232*1.07964601769)+(-5.6)</f>
        <v>14.697345132572002</v>
      </c>
    </row>
    <row r="233" spans="1:11" s="21" customFormat="1" ht="19.95" customHeight="1" x14ac:dyDescent="0.25">
      <c r="A233" s="13" t="str">
        <f>"50415"</f>
        <v>50415</v>
      </c>
      <c r="B233" s="14" t="s">
        <v>583</v>
      </c>
      <c r="C233" s="13" t="str">
        <f>"17.1"</f>
        <v>17.1</v>
      </c>
      <c r="D233" s="32">
        <f>(C233*1.24778761061)+(0.4)</f>
        <v>21.737168141431003</v>
      </c>
      <c r="E233" s="33">
        <f>(C233*1.16814159292)+(-1)</f>
        <v>18.975221238932004</v>
      </c>
      <c r="F233" s="33">
        <f>(C233*1.1238938053)+(-4.4)</f>
        <v>14.818584070630001</v>
      </c>
      <c r="G233" s="33">
        <f>(C233*1.06194690265)+(-5.9)</f>
        <v>12.259292035315001</v>
      </c>
      <c r="H233" s="34">
        <f>(C233*1.19469026548)+(0)</f>
        <v>20.429203539708002</v>
      </c>
      <c r="I233" s="34">
        <f>(C233*1.16814159292)+(-2)</f>
        <v>17.975221238932004</v>
      </c>
      <c r="J233" s="34">
        <f>(C233*1.1238938053)+(-3.9)</f>
        <v>15.318584070630001</v>
      </c>
      <c r="K233" s="34">
        <f>(C233*1.07964601769)+(-5.6)</f>
        <v>12.861946902499001</v>
      </c>
    </row>
    <row r="234" spans="1:11" s="21" customFormat="1" ht="19.95" customHeight="1" x14ac:dyDescent="0.25">
      <c r="A234" s="13" t="str">
        <f>"7263"</f>
        <v>7263</v>
      </c>
      <c r="B234" s="14" t="s">
        <v>584</v>
      </c>
      <c r="C234" s="13" t="str">
        <f>"7.2"</f>
        <v>7.2</v>
      </c>
      <c r="D234" s="32">
        <f>(C234*1.24778761061)+(0.4)</f>
        <v>9.3840707963920007</v>
      </c>
      <c r="E234" s="33">
        <f>(C234*1.16814159292)+(-1)</f>
        <v>7.4106194690240006</v>
      </c>
      <c r="F234" s="33">
        <f>(C234*1.1238938053)+(-4.4)</f>
        <v>3.6920353981599998</v>
      </c>
      <c r="G234" s="33">
        <f>(C234*1.06194690265)+(-5.9)</f>
        <v>1.7460176990799994</v>
      </c>
      <c r="H234" s="34">
        <f>(C234*1.19469026548)+(0)</f>
        <v>8.6017699114559996</v>
      </c>
      <c r="I234" s="34">
        <f>(C234*1.16814159292)+(-2)</f>
        <v>6.4106194690240006</v>
      </c>
      <c r="J234" s="34">
        <f>(C234*1.1238938053)+(-3.9)</f>
        <v>4.1920353981599998</v>
      </c>
      <c r="K234" s="34">
        <f>(C234*1.07964601769)+(-5.6)</f>
        <v>2.1734513273680003</v>
      </c>
    </row>
    <row r="235" spans="1:11" s="21" customFormat="1" ht="19.95" customHeight="1" x14ac:dyDescent="0.25">
      <c r="A235" s="13" t="str">
        <f>"73616"</f>
        <v>73616</v>
      </c>
      <c r="B235" s="14" t="s">
        <v>585</v>
      </c>
      <c r="C235" s="13" t="str">
        <f>"13.7"</f>
        <v>13.7</v>
      </c>
      <c r="D235" s="32">
        <f>(C235*1.24778761061)+(0.4)</f>
        <v>17.494690265357001</v>
      </c>
      <c r="E235" s="33">
        <f>(C235*1.16814159292)+(-1)</f>
        <v>15.003539823004001</v>
      </c>
      <c r="F235" s="33">
        <f>(C235*1.1238938053)+(-4.4)</f>
        <v>10.997345132609999</v>
      </c>
      <c r="G235" s="33">
        <f>(C235*1.06194690265)+(-5.9)</f>
        <v>8.648672566304997</v>
      </c>
      <c r="H235" s="34">
        <f>(C235*1.19469026548)+(0)</f>
        <v>16.367256637076</v>
      </c>
      <c r="I235" s="34">
        <f>(C235*1.16814159292)+(-2)</f>
        <v>14.003539823004001</v>
      </c>
      <c r="J235" s="34">
        <f>(C235*1.1238938053)+(-3.9)</f>
        <v>11.497345132609999</v>
      </c>
      <c r="K235" s="34">
        <f>(C235*1.07964601769)+(-5.6)</f>
        <v>9.1911504423529991</v>
      </c>
    </row>
    <row r="236" spans="1:11" s="21" customFormat="1" ht="19.95" customHeight="1" x14ac:dyDescent="0.25">
      <c r="A236" s="13" t="str">
        <f>"1008998"</f>
        <v>1008998</v>
      </c>
      <c r="B236" s="14" t="s">
        <v>586</v>
      </c>
      <c r="C236" s="13" t="str">
        <f>"17.9"</f>
        <v>17.9</v>
      </c>
      <c r="D236" s="32">
        <f>(C236*1.24778761061)+(0.4)</f>
        <v>22.735398229918999</v>
      </c>
      <c r="E236" s="33">
        <f>(C236*1.16814159292)+(-1)</f>
        <v>19.909734513267999</v>
      </c>
      <c r="F236" s="33">
        <f>(C236*1.1238938053)+(-4.4)</f>
        <v>15.717699114869999</v>
      </c>
      <c r="G236" s="33">
        <f>(C236*1.06194690265)+(-5.9)</f>
        <v>13.108849557434995</v>
      </c>
      <c r="H236" s="34">
        <f>(C236*1.19469026548)+(0)</f>
        <v>21.384955752091997</v>
      </c>
      <c r="I236" s="34">
        <f>(C236*1.16814159292)+(-2)</f>
        <v>18.909734513267999</v>
      </c>
      <c r="J236" s="34">
        <f>(C236*1.1238938053)+(-3.9)</f>
        <v>16.217699114870001</v>
      </c>
      <c r="K236" s="34">
        <f>(C236*1.07964601769)+(-5.6)</f>
        <v>13.725663716651001</v>
      </c>
    </row>
    <row r="237" spans="1:11" s="21" customFormat="1" ht="19.95" customHeight="1" x14ac:dyDescent="0.25">
      <c r="A237" s="13" t="str">
        <f>"48505"</f>
        <v>48505</v>
      </c>
      <c r="B237" s="14" t="s">
        <v>587</v>
      </c>
      <c r="C237" s="13" t="str">
        <f>"15.6"</f>
        <v>15.6</v>
      </c>
      <c r="D237" s="32">
        <f>(C237*1.24778761061)+(0.4)</f>
        <v>19.865486725516</v>
      </c>
      <c r="E237" s="33">
        <f>(C237*1.16814159292)+(-1)</f>
        <v>17.223008849552002</v>
      </c>
      <c r="F237" s="33">
        <f>(C237*1.1238938053)+(-4.4)</f>
        <v>13.132743362680001</v>
      </c>
      <c r="G237" s="33">
        <f>(C237*1.06194690265)+(-5.9)</f>
        <v>10.666371681339998</v>
      </c>
      <c r="H237" s="34">
        <f>(C237*1.19469026548)+(0)</f>
        <v>18.637168141488001</v>
      </c>
      <c r="I237" s="34">
        <f>(C237*1.16814159292)+(-2)</f>
        <v>16.223008849552002</v>
      </c>
      <c r="J237" s="34">
        <f>(C237*1.1238938053)+(-3.9)</f>
        <v>13.632743362680001</v>
      </c>
      <c r="K237" s="34">
        <f>(C237*1.07964601769)+(-5.6)</f>
        <v>11.242477875964001</v>
      </c>
    </row>
    <row r="238" spans="1:11" s="21" customFormat="1" ht="19.95" customHeight="1" x14ac:dyDescent="0.25">
      <c r="A238" s="13" t="str">
        <f>"12640"</f>
        <v>12640</v>
      </c>
      <c r="B238" s="14" t="s">
        <v>588</v>
      </c>
      <c r="C238" s="13" t="str">
        <f>"22.7"</f>
        <v>22.7</v>
      </c>
      <c r="D238" s="32">
        <f>(C238*1.24778761061)+(0.4)</f>
        <v>28.724778760846998</v>
      </c>
      <c r="E238" s="33">
        <f>(C238*1.16814159292)+(-1)</f>
        <v>25.516814159283999</v>
      </c>
      <c r="F238" s="33">
        <f>(C238*1.1238938053)+(-4.4)</f>
        <v>21.112389380309999</v>
      </c>
      <c r="G238" s="33">
        <f>(C238*1.06194690265)+(-5.9)</f>
        <v>18.206194690154994</v>
      </c>
      <c r="H238" s="34">
        <f>(C238*1.19469026548)+(0)</f>
        <v>27.119469026396001</v>
      </c>
      <c r="I238" s="34">
        <f>(C238*1.16814159292)+(-2)</f>
        <v>24.516814159283999</v>
      </c>
      <c r="J238" s="34">
        <f>(C238*1.1238938053)+(-3.9)</f>
        <v>21.612389380310002</v>
      </c>
      <c r="K238" s="34">
        <f>(C238*1.07964601769)+(-5.6)</f>
        <v>18.907964601563002</v>
      </c>
    </row>
    <row r="239" spans="1:11" s="21" customFormat="1" ht="19.95" customHeight="1" x14ac:dyDescent="0.25">
      <c r="A239" s="13" t="str">
        <f>"5199"</f>
        <v>5199</v>
      </c>
      <c r="B239" s="14" t="s">
        <v>589</v>
      </c>
      <c r="C239" s="13" t="str">
        <f>"18.3"</f>
        <v>18.3</v>
      </c>
      <c r="D239" s="32">
        <f>(C239*1.24778761061)+(0.4)</f>
        <v>23.234513274163</v>
      </c>
      <c r="E239" s="33">
        <f>(C239*1.16814159292)+(-1)</f>
        <v>20.376991150436002</v>
      </c>
      <c r="F239" s="33">
        <f>(C239*1.1238938053)+(-4.4)</f>
        <v>16.167256636990004</v>
      </c>
      <c r="G239" s="33">
        <f>(C239*1.06194690265)+(-5.9)</f>
        <v>13.533628318494999</v>
      </c>
      <c r="H239" s="34">
        <f>(C239*1.19469026548)+(0)</f>
        <v>21.862831858284</v>
      </c>
      <c r="I239" s="34">
        <f>(C239*1.16814159292)+(-2)</f>
        <v>19.376991150436002</v>
      </c>
      <c r="J239" s="34">
        <f>(C239*1.1238938053)+(-3.9)</f>
        <v>16.667256636990004</v>
      </c>
      <c r="K239" s="34">
        <f>(C239*1.07964601769)+(-5.6)</f>
        <v>14.157522123727</v>
      </c>
    </row>
    <row r="240" spans="1:11" s="21" customFormat="1" ht="19.95" customHeight="1" x14ac:dyDescent="0.25">
      <c r="A240" s="13" t="str">
        <f>"75473"</f>
        <v>75473</v>
      </c>
      <c r="B240" s="14" t="s">
        <v>590</v>
      </c>
      <c r="C240" s="13" t="str">
        <f>"19.0"</f>
        <v>19.0</v>
      </c>
      <c r="D240" s="32">
        <f>(C240*1.24778761061)+(0.4)</f>
        <v>24.107964601590002</v>
      </c>
      <c r="E240" s="33">
        <f>(C240*1.16814159292)+(-1)</f>
        <v>21.194690265480002</v>
      </c>
      <c r="F240" s="33">
        <f>(C240*1.1238938053)+(-4.4)</f>
        <v>16.953982300699998</v>
      </c>
      <c r="G240" s="33">
        <f>(C240*1.06194690265)+(-5.9)</f>
        <v>14.276991150349998</v>
      </c>
      <c r="H240" s="34">
        <f>(C240*1.19469026548)+(0)</f>
        <v>22.699115044119999</v>
      </c>
      <c r="I240" s="34">
        <f>(C240*1.16814159292)+(-2)</f>
        <v>20.194690265480002</v>
      </c>
      <c r="J240" s="34">
        <f>(C240*1.1238938053)+(-3.9)</f>
        <v>17.453982300700002</v>
      </c>
      <c r="K240" s="34">
        <f>(C240*1.07964601769)+(-5.6)</f>
        <v>14.913274336110002</v>
      </c>
    </row>
    <row r="241" spans="1:11" s="21" customFormat="1" ht="19.95" customHeight="1" x14ac:dyDescent="0.25">
      <c r="A241" s="13" t="str">
        <f>"41889"</f>
        <v>41889</v>
      </c>
      <c r="B241" s="14" t="s">
        <v>591</v>
      </c>
      <c r="C241" s="13" t="str">
        <f>"22.9"</f>
        <v>22.9</v>
      </c>
      <c r="D241" s="32">
        <f>(C241*1.24778761061)+(0.4)</f>
        <v>28.974336282968999</v>
      </c>
      <c r="E241" s="33">
        <f>(C241*1.16814159292)+(-1)</f>
        <v>25.750442477867999</v>
      </c>
      <c r="F241" s="33">
        <f>(C241*1.1238938053)+(-4.4)</f>
        <v>21.33716814137</v>
      </c>
      <c r="G241" s="33">
        <f>(C241*1.06194690265)+(-5.9)</f>
        <v>18.418584070684993</v>
      </c>
      <c r="H241" s="34">
        <f>(C241*1.19469026548)+(0)</f>
        <v>27.358407079492</v>
      </c>
      <c r="I241" s="34">
        <f>(C241*1.16814159292)+(-2)</f>
        <v>24.750442477867999</v>
      </c>
      <c r="J241" s="34">
        <f>(C241*1.1238938053)+(-3.9)</f>
        <v>21.83716814137</v>
      </c>
      <c r="K241" s="34">
        <f>(C241*1.07964601769)+(-5.6)</f>
        <v>19.123893805100998</v>
      </c>
    </row>
    <row r="242" spans="1:11" s="21" customFormat="1" ht="19.95" customHeight="1" x14ac:dyDescent="0.25">
      <c r="A242" s="13" t="str">
        <f>"73210"</f>
        <v>73210</v>
      </c>
      <c r="B242" s="14" t="s">
        <v>592</v>
      </c>
      <c r="C242" s="13" t="str">
        <f>"32.1"</f>
        <v>32.1</v>
      </c>
      <c r="D242" s="32">
        <f>(C242*1.24778761061)+(0.4)</f>
        <v>40.453982300581004</v>
      </c>
      <c r="E242" s="33">
        <f>(C242*1.16814159292)+(-1)</f>
        <v>36.497345132732008</v>
      </c>
      <c r="F242" s="33">
        <f>(C242*1.1238938053)+(-4.4)</f>
        <v>31.676991150130007</v>
      </c>
      <c r="G242" s="33">
        <f>(C242*1.06194690265)+(-5.9)</f>
        <v>28.188495575064998</v>
      </c>
      <c r="H242" s="34">
        <f>(C242*1.19469026548)+(0)</f>
        <v>38.349557521908004</v>
      </c>
      <c r="I242" s="34">
        <f>(C242*1.16814159292)+(-2)</f>
        <v>35.497345132732008</v>
      </c>
      <c r="J242" s="34">
        <f>(C242*1.1238938053)+(-3.9)</f>
        <v>32.176991150130007</v>
      </c>
      <c r="K242" s="34">
        <f>(C242*1.07964601769)+(-5.6)</f>
        <v>29.056637167848997</v>
      </c>
    </row>
    <row r="243" spans="1:11" s="21" customFormat="1" ht="19.95" customHeight="1" x14ac:dyDescent="0.25">
      <c r="A243" s="13" t="str">
        <f>"15721"</f>
        <v>15721</v>
      </c>
      <c r="B243" s="14" t="s">
        <v>593</v>
      </c>
      <c r="C243" s="13" t="str">
        <f>"7.9"</f>
        <v>7.9</v>
      </c>
      <c r="D243" s="32">
        <f>(C243*1.24778761061)+(0.4)</f>
        <v>10.257522123819001</v>
      </c>
      <c r="E243" s="33">
        <f>(C243*1.16814159292)+(-1)</f>
        <v>8.2283185840680009</v>
      </c>
      <c r="F243" s="33">
        <f>(C243*1.1238938053)+(-4.4)</f>
        <v>4.4787610618700011</v>
      </c>
      <c r="G243" s="33">
        <f>(C243*1.06194690265)+(-5.9)</f>
        <v>2.4893805309349997</v>
      </c>
      <c r="H243" s="34">
        <f>(C243*1.19469026548)+(0)</f>
        <v>9.4380530972920003</v>
      </c>
      <c r="I243" s="34">
        <f>(C243*1.16814159292)+(-2)</f>
        <v>7.2283185840680009</v>
      </c>
      <c r="J243" s="34">
        <f>(C243*1.1238938053)+(-3.9)</f>
        <v>4.9787610618700011</v>
      </c>
      <c r="K243" s="34">
        <f>(C243*1.07964601769)+(-5.6)</f>
        <v>2.9292035397510006</v>
      </c>
    </row>
    <row r="244" spans="1:11" s="21" customFormat="1" ht="19.95" customHeight="1" x14ac:dyDescent="0.25">
      <c r="A244" s="13" t="str">
        <f>"15722"</f>
        <v>15722</v>
      </c>
      <c r="B244" s="14" t="s">
        <v>594</v>
      </c>
      <c r="C244" s="13" t="str">
        <f>"6.8"</f>
        <v>6.8</v>
      </c>
      <c r="D244" s="32">
        <f>(C244*1.24778761061)+(0.4)</f>
        <v>8.8849557521480005</v>
      </c>
      <c r="E244" s="33">
        <f>(C244*1.16814159292)+(-1)</f>
        <v>6.9433628318560006</v>
      </c>
      <c r="F244" s="33">
        <f>(C244*1.1238938053)+(-4.4)</f>
        <v>3.2424778760399997</v>
      </c>
      <c r="G244" s="33">
        <f>(C244*1.06194690265)+(-5.9)</f>
        <v>1.3212389380199987</v>
      </c>
      <c r="H244" s="34">
        <f>(C244*1.19469026548)+(0)</f>
        <v>8.1238938052640002</v>
      </c>
      <c r="I244" s="34">
        <f>(C244*1.16814159292)+(-2)</f>
        <v>5.9433628318560006</v>
      </c>
      <c r="J244" s="34">
        <f>(C244*1.1238938053)+(-3.9)</f>
        <v>3.7424778760400002</v>
      </c>
      <c r="K244" s="34">
        <f>(C244*1.07964601769)+(-5.6)</f>
        <v>1.7415929202920006</v>
      </c>
    </row>
    <row r="245" spans="1:11" s="21" customFormat="1" ht="19.95" customHeight="1" x14ac:dyDescent="0.25">
      <c r="A245" s="13" t="str">
        <f>"15723"</f>
        <v>15723</v>
      </c>
      <c r="B245" s="14" t="s">
        <v>595</v>
      </c>
      <c r="C245" s="13" t="str">
        <f>"14.4"</f>
        <v>14.4</v>
      </c>
      <c r="D245" s="32">
        <f>(C245*1.24778761061)+(0.4)</f>
        <v>18.368141592783999</v>
      </c>
      <c r="E245" s="33">
        <f>(C245*1.16814159292)+(-1)</f>
        <v>15.821238938048001</v>
      </c>
      <c r="F245" s="33">
        <f>(C245*1.1238938053)+(-4.4)</f>
        <v>11.78407079632</v>
      </c>
      <c r="G245" s="33">
        <f>(C245*1.06194690265)+(-5.9)</f>
        <v>9.3920353981599991</v>
      </c>
      <c r="H245" s="34">
        <f>(C245*1.19469026548)+(0)</f>
        <v>17.203539822911999</v>
      </c>
      <c r="I245" s="34">
        <f>(C245*1.16814159292)+(-2)</f>
        <v>14.821238938048001</v>
      </c>
      <c r="J245" s="34">
        <f>(C245*1.1238938053)+(-3.9)</f>
        <v>12.28407079632</v>
      </c>
      <c r="K245" s="34">
        <f>(C245*1.07964601769)+(-5.6)</f>
        <v>9.9469026547360002</v>
      </c>
    </row>
    <row r="246" spans="1:11" s="21" customFormat="1" ht="19.95" customHeight="1" x14ac:dyDescent="0.25">
      <c r="A246" s="13" t="str">
        <f>"73630"</f>
        <v>73630</v>
      </c>
      <c r="B246" s="14" t="s">
        <v>596</v>
      </c>
      <c r="C246" s="13" t="str">
        <f>"19.6"</f>
        <v>19.6</v>
      </c>
      <c r="D246" s="32">
        <f>(C246*1.24778761061)+(0.4)</f>
        <v>24.856637167956002</v>
      </c>
      <c r="E246" s="33">
        <f>(C246*1.16814159292)+(-1)</f>
        <v>21.895575221232004</v>
      </c>
      <c r="F246" s="33">
        <f>(C246*1.1238938053)+(-4.4)</f>
        <v>17.628318583880002</v>
      </c>
      <c r="G246" s="33">
        <f>(C246*1.06194690265)+(-5.9)</f>
        <v>14.914159291940001</v>
      </c>
      <c r="H246" s="34">
        <f>(C246*1.19469026548)+(0)</f>
        <v>23.415929203408002</v>
      </c>
      <c r="I246" s="34">
        <f>(C246*1.16814159292)+(-2)</f>
        <v>20.895575221232004</v>
      </c>
      <c r="J246" s="34">
        <f>(C246*1.1238938053)+(-3.9)</f>
        <v>18.128318583880002</v>
      </c>
      <c r="K246" s="34">
        <f>(C246*1.07964601769)+(-5.6)</f>
        <v>15.561061946724001</v>
      </c>
    </row>
    <row r="247" spans="1:11" s="21" customFormat="1" ht="19.95" customHeight="1" x14ac:dyDescent="0.25">
      <c r="A247" s="13" t="str">
        <f>"15727"</f>
        <v>15727</v>
      </c>
      <c r="B247" s="14" t="s">
        <v>597</v>
      </c>
      <c r="C247" s="13" t="str">
        <f>"16.4"</f>
        <v>16.4</v>
      </c>
      <c r="D247" s="32">
        <f>(C247*1.24778761061)+(0.4)</f>
        <v>20.863716814003997</v>
      </c>
      <c r="E247" s="33">
        <f>(C247*1.16814159292)+(-1)</f>
        <v>18.157522123888</v>
      </c>
      <c r="F247" s="33">
        <f>(C247*1.1238938053)+(-4.4)</f>
        <v>14.03185840692</v>
      </c>
      <c r="G247" s="33">
        <f>(C247*1.06194690265)+(-5.9)</f>
        <v>11.515929203459995</v>
      </c>
      <c r="H247" s="34">
        <f>(C247*1.19469026548)+(0)</f>
        <v>19.592920353872</v>
      </c>
      <c r="I247" s="34">
        <f>(C247*1.16814159292)+(-2)</f>
        <v>17.157522123888</v>
      </c>
      <c r="J247" s="34">
        <f>(C247*1.1238938053)+(-3.9)</f>
        <v>14.53185840692</v>
      </c>
      <c r="K247" s="34">
        <f>(C247*1.07964601769)+(-5.6)</f>
        <v>12.106194690116</v>
      </c>
    </row>
    <row r="248" spans="1:11" s="21" customFormat="1" ht="19.95" customHeight="1" x14ac:dyDescent="0.25">
      <c r="A248" s="13" t="str">
        <f>"657"</f>
        <v>657</v>
      </c>
      <c r="B248" s="14" t="s">
        <v>598</v>
      </c>
      <c r="C248" s="13" t="str">
        <f>"22.4"</f>
        <v>22.4</v>
      </c>
      <c r="D248" s="32">
        <f>(C248*1.24778761061)+(0.4)</f>
        <v>28.350442477664</v>
      </c>
      <c r="E248" s="33">
        <f>(C248*1.16814159292)+(-1)</f>
        <v>25.166371681408002</v>
      </c>
      <c r="F248" s="33">
        <f>(C248*1.1238938053)+(-4.4)</f>
        <v>20.77522123872</v>
      </c>
      <c r="G248" s="33">
        <f>(C248*1.06194690265)+(-5.9)</f>
        <v>17.887610619359997</v>
      </c>
      <c r="H248" s="34">
        <f>(C248*1.19469026548)+(0)</f>
        <v>26.761061946751997</v>
      </c>
      <c r="I248" s="34">
        <f>(C248*1.16814159292)+(-2)</f>
        <v>24.166371681408002</v>
      </c>
      <c r="J248" s="34">
        <f>(C248*1.1238938053)+(-3.9)</f>
        <v>21.27522123872</v>
      </c>
      <c r="K248" s="34">
        <f>(C248*1.07964601769)+(-5.6)</f>
        <v>18.584070796256</v>
      </c>
    </row>
    <row r="249" spans="1:11" s="21" customFormat="1" ht="19.95" customHeight="1" x14ac:dyDescent="0.25">
      <c r="A249" s="13" t="str">
        <f>"15729"</f>
        <v>15729</v>
      </c>
      <c r="B249" s="14" t="s">
        <v>599</v>
      </c>
      <c r="C249" s="13" t="str">
        <f>"38.3"</f>
        <v>38.3</v>
      </c>
      <c r="D249" s="32">
        <f>(C249*1.24778761061)+(0.4)</f>
        <v>48.190265486362996</v>
      </c>
      <c r="E249" s="33">
        <f>(C249*1.16814159292)+(-1)</f>
        <v>43.739823008835998</v>
      </c>
      <c r="F249" s="33">
        <f>(C249*1.1238938053)+(-4.4)</f>
        <v>38.64513274299</v>
      </c>
      <c r="G249" s="33">
        <f>(C249*1.06194690265)+(-5.9)</f>
        <v>34.772566371494996</v>
      </c>
      <c r="H249" s="34">
        <f>(C249*1.19469026548)+(0)</f>
        <v>45.756637167883994</v>
      </c>
      <c r="I249" s="34">
        <f>(C249*1.16814159292)+(-2)</f>
        <v>42.739823008835998</v>
      </c>
      <c r="J249" s="34">
        <f>(C249*1.1238938053)+(-3.9)</f>
        <v>39.14513274299</v>
      </c>
      <c r="K249" s="34">
        <f>(C249*1.07964601769)+(-5.6)</f>
        <v>35.750442477526995</v>
      </c>
    </row>
    <row r="250" spans="1:11" s="21" customFormat="1" ht="19.95" customHeight="1" x14ac:dyDescent="0.25">
      <c r="A250" s="13" t="str">
        <f>"6739"</f>
        <v>6739</v>
      </c>
      <c r="B250" s="14" t="s">
        <v>600</v>
      </c>
      <c r="C250" s="13" t="str">
        <f>"9.5"</f>
        <v>9.5</v>
      </c>
      <c r="D250" s="32">
        <f>(C250*1.24778761061)+(0.4)</f>
        <v>12.253982300795002</v>
      </c>
      <c r="E250" s="33">
        <f>(C250*1.16814159292)+(-1)</f>
        <v>10.097345132740001</v>
      </c>
      <c r="F250" s="33">
        <f>(C250*1.1238938053)+(-4.4)</f>
        <v>6.2769911503499998</v>
      </c>
      <c r="G250" s="33">
        <f>(C250*1.06194690265)+(-5.9)</f>
        <v>4.1884955751749988</v>
      </c>
      <c r="H250" s="34">
        <f>(C250*1.19469026548)+(0)</f>
        <v>11.34955752206</v>
      </c>
      <c r="I250" s="34">
        <f>(C250*1.16814159292)+(-2)</f>
        <v>9.097345132740001</v>
      </c>
      <c r="J250" s="34">
        <f>(C250*1.1238938053)+(-3.9)</f>
        <v>6.7769911503499998</v>
      </c>
      <c r="K250" s="34">
        <f>(C250*1.07964601769)+(-5.6)</f>
        <v>4.6566371680550009</v>
      </c>
    </row>
    <row r="251" spans="1:11" s="21" customFormat="1" ht="19.95" customHeight="1" x14ac:dyDescent="0.25">
      <c r="A251" s="13" t="str">
        <f>"80906"</f>
        <v>80906</v>
      </c>
      <c r="B251" s="14" t="s">
        <v>601</v>
      </c>
      <c r="C251" s="13" t="str">
        <f>"8.1"</f>
        <v>8.1</v>
      </c>
      <c r="D251" s="32">
        <f>(C251*1.24778761061)+(0.4)</f>
        <v>10.507079645941001</v>
      </c>
      <c r="E251" s="33">
        <f>(C251*1.16814159292)+(-1)</f>
        <v>8.4619469026520004</v>
      </c>
      <c r="F251" s="33">
        <f>(C251*1.1238938053)+(-4.4)</f>
        <v>4.7035398229299989</v>
      </c>
      <c r="G251" s="33">
        <f>(C251*1.06194690265)+(-5.9)</f>
        <v>2.7017699114649982</v>
      </c>
      <c r="H251" s="34">
        <f>(C251*1.19469026548)+(0)</f>
        <v>9.676991150388</v>
      </c>
      <c r="I251" s="34">
        <f>(C251*1.16814159292)+(-2)</f>
        <v>7.4619469026520004</v>
      </c>
      <c r="J251" s="34">
        <f>(C251*1.1238938053)+(-3.9)</f>
        <v>5.2035398229299989</v>
      </c>
      <c r="K251" s="34">
        <f>(C251*1.07964601769)+(-5.6)</f>
        <v>3.1451327432890004</v>
      </c>
    </row>
    <row r="252" spans="1:11" s="21" customFormat="1" ht="19.95" customHeight="1" x14ac:dyDescent="0.25">
      <c r="A252" s="13" t="str">
        <f>"5257"</f>
        <v>5257</v>
      </c>
      <c r="B252" s="14" t="s">
        <v>602</v>
      </c>
      <c r="C252" s="13" t="str">
        <f>"20.6"</f>
        <v>20.6</v>
      </c>
      <c r="D252" s="32">
        <f>(C252*1.24778761061)+(0.4)</f>
        <v>26.104424778566003</v>
      </c>
      <c r="E252" s="33">
        <f>(C252*1.16814159292)+(-1)</f>
        <v>23.063716814152002</v>
      </c>
      <c r="F252" s="33">
        <f>(C252*1.1238938053)+(-4.4)</f>
        <v>18.752212389180002</v>
      </c>
      <c r="G252" s="33">
        <f>(C252*1.06194690265)+(-5.9)</f>
        <v>15.976106194590001</v>
      </c>
      <c r="H252" s="34">
        <f>(C252*1.19469026548)+(0)</f>
        <v>24.610619468888</v>
      </c>
      <c r="I252" s="34">
        <f>(C252*1.16814159292)+(-2)</f>
        <v>22.063716814152002</v>
      </c>
      <c r="J252" s="34">
        <f>(C252*1.1238938053)+(-3.9)</f>
        <v>19.252212389180006</v>
      </c>
      <c r="K252" s="34">
        <f>(C252*1.07964601769)+(-5.6)</f>
        <v>16.640707964414005</v>
      </c>
    </row>
    <row r="253" spans="1:11" s="21" customFormat="1" ht="19.95" customHeight="1" x14ac:dyDescent="0.25">
      <c r="A253" s="13" t="str">
        <f>"1005718"</f>
        <v>1005718</v>
      </c>
      <c r="B253" s="14" t="s">
        <v>603</v>
      </c>
      <c r="C253" s="13" t="str">
        <f>"21.3"</f>
        <v>21.3</v>
      </c>
      <c r="D253" s="32">
        <f>(C253*1.24778761061)+(0.4)</f>
        <v>26.977876105993001</v>
      </c>
      <c r="E253" s="33">
        <f>(C253*1.16814159292)+(-1)</f>
        <v>23.881415929196002</v>
      </c>
      <c r="F253" s="33">
        <f>(C253*1.1238938053)+(-4.4)</f>
        <v>19.538938052890003</v>
      </c>
      <c r="G253" s="33">
        <f>(C253*1.06194690265)+(-5.9)</f>
        <v>16.719469026444997</v>
      </c>
      <c r="H253" s="34">
        <f>(C253*1.19469026548)+(0)</f>
        <v>25.446902654724003</v>
      </c>
      <c r="I253" s="34">
        <f>(C253*1.16814159292)+(-2)</f>
        <v>22.881415929196002</v>
      </c>
      <c r="J253" s="34">
        <f>(C253*1.1238938053)+(-3.9)</f>
        <v>20.038938052890003</v>
      </c>
      <c r="K253" s="34">
        <f>(C253*1.07964601769)+(-5.6)</f>
        <v>17.396460176797</v>
      </c>
    </row>
    <row r="254" spans="1:11" s="21" customFormat="1" ht="19.95" customHeight="1" x14ac:dyDescent="0.25">
      <c r="A254" s="13" t="str">
        <f>"46193"</f>
        <v>46193</v>
      </c>
      <c r="B254" s="14" t="s">
        <v>604</v>
      </c>
      <c r="C254" s="13" t="str">
        <f>"16.0"</f>
        <v>16.0</v>
      </c>
      <c r="D254" s="32">
        <f>(C254*1.24778761061)+(0.4)</f>
        <v>20.36460176976</v>
      </c>
      <c r="E254" s="33">
        <f>(C254*1.16814159292)+(-1)</f>
        <v>17.690265486720001</v>
      </c>
      <c r="F254" s="33">
        <f>(C254*1.1238938053)+(-4.4)</f>
        <v>13.5823008848</v>
      </c>
      <c r="G254" s="33">
        <f>(C254*1.06194690265)+(-5.9)</f>
        <v>11.091150442399998</v>
      </c>
      <c r="H254" s="34">
        <f>(C254*1.19469026548)+(0)</f>
        <v>19.11504424768</v>
      </c>
      <c r="I254" s="34">
        <f>(C254*1.16814159292)+(-2)</f>
        <v>16.690265486720001</v>
      </c>
      <c r="J254" s="34">
        <f>(C254*1.1238938053)+(-3.9)</f>
        <v>14.0823008848</v>
      </c>
      <c r="K254" s="34">
        <f>(C254*1.07964601769)+(-5.6)</f>
        <v>11.674336283040001</v>
      </c>
    </row>
    <row r="255" spans="1:11" s="21" customFormat="1" ht="19.95" customHeight="1" x14ac:dyDescent="0.25">
      <c r="A255" s="13" t="str">
        <f>"15732"</f>
        <v>15732</v>
      </c>
      <c r="B255" s="14" t="s">
        <v>605</v>
      </c>
      <c r="C255" s="13" t="str">
        <f>"16.7"</f>
        <v>16.7</v>
      </c>
      <c r="D255" s="32">
        <f>(C255*1.24778761061)+(0.4)</f>
        <v>21.238053097186999</v>
      </c>
      <c r="E255" s="33">
        <f>(C255*1.16814159292)+(-1)</f>
        <v>18.507964601764002</v>
      </c>
      <c r="F255" s="33">
        <f>(C255*1.1238938053)+(-4.4)</f>
        <v>14.369026548509998</v>
      </c>
      <c r="G255" s="33">
        <f>(C255*1.06194690265)+(-5.9)</f>
        <v>11.834513274254997</v>
      </c>
      <c r="H255" s="34">
        <f>(C255*1.19469026548)+(0)</f>
        <v>19.951327433515999</v>
      </c>
      <c r="I255" s="34">
        <f>(C255*1.16814159292)+(-2)</f>
        <v>17.507964601764002</v>
      </c>
      <c r="J255" s="34">
        <f>(C255*1.1238938053)+(-3.9)</f>
        <v>14.869026548509998</v>
      </c>
      <c r="K255" s="34">
        <f>(C255*1.07964601769)+(-5.6)</f>
        <v>12.430088495422998</v>
      </c>
    </row>
    <row r="256" spans="1:11" s="21" customFormat="1" ht="19.95" customHeight="1" x14ac:dyDescent="0.25">
      <c r="A256" s="13" t="str">
        <f>"35731"</f>
        <v>35731</v>
      </c>
      <c r="B256" s="14" t="s">
        <v>606</v>
      </c>
      <c r="C256" s="13" t="str">
        <f>"3.3"</f>
        <v>3.3</v>
      </c>
      <c r="D256" s="32">
        <f>(C256*1.24778761061)+(0.4)</f>
        <v>4.5176991150130004</v>
      </c>
      <c r="E256" s="33">
        <f>(C256*1.16814159292)+(-1)</f>
        <v>2.8548672566360001</v>
      </c>
      <c r="F256" s="33">
        <f>(C256*1.1238938053)+(-4.4)</f>
        <v>-0.69115044251000057</v>
      </c>
      <c r="G256" s="33">
        <f>(C256*1.06194690265)+(-5.9)</f>
        <v>-2.395575221255001</v>
      </c>
      <c r="H256" s="34">
        <f>(C256*1.19469026548)+(0)</f>
        <v>3.9424778760839998</v>
      </c>
      <c r="I256" s="34">
        <f>(C256*1.16814159292)+(-2)</f>
        <v>1.8548672566360001</v>
      </c>
      <c r="J256" s="34">
        <f>(C256*1.1238938053)+(-3.9)</f>
        <v>-0.19115044251000013</v>
      </c>
      <c r="K256" s="34">
        <f>(C256*1.07964601769)+(-5.6)</f>
        <v>-2.0371681416229999</v>
      </c>
    </row>
    <row r="257" spans="1:11" s="21" customFormat="1" ht="19.95" customHeight="1" x14ac:dyDescent="0.25">
      <c r="A257" s="13" t="str">
        <f>"15734"</f>
        <v>15734</v>
      </c>
      <c r="B257" s="14" t="s">
        <v>607</v>
      </c>
      <c r="C257" s="13" t="str">
        <f>"21.6"</f>
        <v>21.6</v>
      </c>
      <c r="D257" s="32">
        <f>(C257*1.24778761061)+(0.4)</f>
        <v>27.352212389176003</v>
      </c>
      <c r="E257" s="33">
        <f>(C257*1.16814159292)+(-1)</f>
        <v>24.231858407072004</v>
      </c>
      <c r="F257" s="33">
        <f>(C257*1.1238938053)+(-4.4)</f>
        <v>19.876106194480002</v>
      </c>
      <c r="G257" s="33">
        <f>(C257*1.06194690265)+(-5.9)</f>
        <v>17.038053097240002</v>
      </c>
      <c r="H257" s="34">
        <f>(C257*1.19469026548)+(0)</f>
        <v>25.805309734368002</v>
      </c>
      <c r="I257" s="34">
        <f>(C257*1.16814159292)+(-2)</f>
        <v>23.231858407072004</v>
      </c>
      <c r="J257" s="34">
        <f>(C257*1.1238938053)+(-3.9)</f>
        <v>20.376106194480005</v>
      </c>
      <c r="K257" s="34">
        <f>(C257*1.07964601769)+(-5.6)</f>
        <v>17.720353982104001</v>
      </c>
    </row>
    <row r="258" spans="1:11" s="21" customFormat="1" ht="19.95" customHeight="1" x14ac:dyDescent="0.25">
      <c r="A258" s="13" t="str">
        <f>"73899"</f>
        <v>73899</v>
      </c>
      <c r="B258" s="14" t="s">
        <v>608</v>
      </c>
      <c r="C258" s="13" t="str">
        <f>"21.8"</f>
        <v>21.8</v>
      </c>
      <c r="D258" s="32">
        <f>(C258*1.24778761061)+(0.4)</f>
        <v>27.601769911298003</v>
      </c>
      <c r="E258" s="33">
        <f>(C258*1.16814159292)+(-1)</f>
        <v>24.465486725656003</v>
      </c>
      <c r="F258" s="33">
        <f>(C258*1.1238938053)+(-4.4)</f>
        <v>20.100884955540003</v>
      </c>
      <c r="G258" s="33">
        <f>(C258*1.06194690265)+(-5.9)</f>
        <v>17.250442477770001</v>
      </c>
      <c r="H258" s="34">
        <f>(C258*1.19469026548)+(0)</f>
        <v>26.044247787464002</v>
      </c>
      <c r="I258" s="34">
        <f>(C258*1.16814159292)+(-2)</f>
        <v>23.465486725656003</v>
      </c>
      <c r="J258" s="34">
        <f>(C258*1.1238938053)+(-3.9)</f>
        <v>20.600884955540003</v>
      </c>
      <c r="K258" s="34">
        <f>(C258*1.07964601769)+(-5.6)</f>
        <v>17.936283185642004</v>
      </c>
    </row>
    <row r="259" spans="1:11" s="21" customFormat="1" ht="19.95" customHeight="1" x14ac:dyDescent="0.25">
      <c r="A259" s="13" t="str">
        <f>"74733"</f>
        <v>74733</v>
      </c>
      <c r="B259" s="14" t="s">
        <v>609</v>
      </c>
      <c r="C259" s="13" t="str">
        <f>"28.6"</f>
        <v>28.6</v>
      </c>
      <c r="D259" s="32">
        <f>(C259*1.24778761061)+(0.4)</f>
        <v>36.086725663446003</v>
      </c>
      <c r="E259" s="33">
        <f>(C259*1.16814159292)+(-1)</f>
        <v>32.408849557512006</v>
      </c>
      <c r="F259" s="33">
        <f>(C259*1.1238938053)+(-4.4)</f>
        <v>27.743362831580008</v>
      </c>
      <c r="G259" s="33">
        <f>(C259*1.06194690265)+(-5.9)</f>
        <v>24.471681415790002</v>
      </c>
      <c r="H259" s="34">
        <f>(C259*1.19469026548)+(0)</f>
        <v>34.168141592727999</v>
      </c>
      <c r="I259" s="34">
        <f>(C259*1.16814159292)+(-2)</f>
        <v>31.408849557512006</v>
      </c>
      <c r="J259" s="34">
        <f>(C259*1.1238938053)+(-3.9)</f>
        <v>28.243362831580008</v>
      </c>
      <c r="K259" s="34">
        <f>(C259*1.07964601769)+(-5.6)</f>
        <v>25.277876105934006</v>
      </c>
    </row>
    <row r="260" spans="1:11" s="21" customFormat="1" ht="19.95" customHeight="1" x14ac:dyDescent="0.25">
      <c r="A260" s="13" t="str">
        <f>"15736"</f>
        <v>15736</v>
      </c>
      <c r="B260" s="14" t="s">
        <v>610</v>
      </c>
      <c r="C260" s="13" t="str">
        <f>"13.5"</f>
        <v>13.5</v>
      </c>
      <c r="D260" s="32">
        <f>(C260*1.24778761061)+(0.4)</f>
        <v>17.245132743235001</v>
      </c>
      <c r="E260" s="33">
        <f>(C260*1.16814159292)+(-1)</f>
        <v>14.769911504420001</v>
      </c>
      <c r="F260" s="33">
        <f>(C260*1.1238938053)+(-4.4)</f>
        <v>10.772566371550001</v>
      </c>
      <c r="G260" s="33">
        <f>(C260*1.06194690265)+(-5.9)</f>
        <v>8.4362831857749985</v>
      </c>
      <c r="H260" s="34">
        <f>(C260*1.19469026548)+(0)</f>
        <v>16.128318583980001</v>
      </c>
      <c r="I260" s="34">
        <f>(C260*1.16814159292)+(-2)</f>
        <v>13.769911504420001</v>
      </c>
      <c r="J260" s="34">
        <f>(C260*1.1238938053)+(-3.9)</f>
        <v>11.272566371550001</v>
      </c>
      <c r="K260" s="34">
        <f>(C260*1.07964601769)+(-5.6)</f>
        <v>8.975221238815001</v>
      </c>
    </row>
    <row r="261" spans="1:11" s="21" customFormat="1" ht="19.95" customHeight="1" x14ac:dyDescent="0.25">
      <c r="A261" s="13" t="str">
        <f>"15739"</f>
        <v>15739</v>
      </c>
      <c r="B261" s="14" t="s">
        <v>611</v>
      </c>
      <c r="C261" s="13" t="str">
        <f>"18.6"</f>
        <v>18.6</v>
      </c>
      <c r="D261" s="32">
        <f>(C261*1.24778761061)+(0.4)</f>
        <v>23.608849557346002</v>
      </c>
      <c r="E261" s="33">
        <f>(C261*1.16814159292)+(-1)</f>
        <v>20.727433628312003</v>
      </c>
      <c r="F261" s="33">
        <f>(C261*1.1238938053)+(-4.4)</f>
        <v>16.504424778580002</v>
      </c>
      <c r="G261" s="33">
        <f>(C261*1.06194690265)+(-5.9)</f>
        <v>13.852212389290001</v>
      </c>
      <c r="H261" s="34">
        <f>(C261*1.19469026548)+(0)</f>
        <v>22.221238937928003</v>
      </c>
      <c r="I261" s="34">
        <f>(C261*1.16814159292)+(-2)</f>
        <v>19.727433628312003</v>
      </c>
      <c r="J261" s="34">
        <f>(C261*1.1238938053)+(-3.9)</f>
        <v>17.004424778580002</v>
      </c>
      <c r="K261" s="34">
        <f>(C261*1.07964601769)+(-5.6)</f>
        <v>14.481415929034002</v>
      </c>
    </row>
    <row r="262" spans="1:11" s="21" customFormat="1" ht="19.95" customHeight="1" x14ac:dyDescent="0.25">
      <c r="A262" s="13" t="str">
        <f>"69710"</f>
        <v>69710</v>
      </c>
      <c r="B262" s="14" t="s">
        <v>612</v>
      </c>
      <c r="C262" s="13" t="str">
        <f>"7.2"</f>
        <v>7.2</v>
      </c>
      <c r="D262" s="32">
        <f>(C262*1.24778761061)+(0.4)</f>
        <v>9.3840707963920007</v>
      </c>
      <c r="E262" s="33">
        <f>(C262*1.16814159292)+(-1)</f>
        <v>7.4106194690240006</v>
      </c>
      <c r="F262" s="33">
        <f>(C262*1.1238938053)+(-4.4)</f>
        <v>3.6920353981599998</v>
      </c>
      <c r="G262" s="33">
        <f>(C262*1.06194690265)+(-5.9)</f>
        <v>1.7460176990799994</v>
      </c>
      <c r="H262" s="34">
        <f>(C262*1.19469026548)+(0)</f>
        <v>8.6017699114559996</v>
      </c>
      <c r="I262" s="34">
        <f>(C262*1.16814159292)+(-2)</f>
        <v>6.4106194690240006</v>
      </c>
      <c r="J262" s="34">
        <f>(C262*1.1238938053)+(-3.9)</f>
        <v>4.1920353981599998</v>
      </c>
      <c r="K262" s="34">
        <f>(C262*1.07964601769)+(-5.6)</f>
        <v>2.1734513273680003</v>
      </c>
    </row>
    <row r="263" spans="1:11" s="21" customFormat="1" ht="19.95" customHeight="1" x14ac:dyDescent="0.25">
      <c r="A263" s="13" t="str">
        <f>"15746"</f>
        <v>15746</v>
      </c>
      <c r="B263" s="14" t="s">
        <v>613</v>
      </c>
      <c r="C263" s="13" t="str">
        <f>"19.3"</f>
        <v>19.3</v>
      </c>
      <c r="D263" s="32">
        <f>(C263*1.24778761061)+(0.4)</f>
        <v>24.482300884773</v>
      </c>
      <c r="E263" s="33">
        <f>(C263*1.16814159292)+(-1)</f>
        <v>21.545132743356003</v>
      </c>
      <c r="F263" s="33">
        <f>(C263*1.1238938053)+(-4.4)</f>
        <v>17.291150442290004</v>
      </c>
      <c r="G263" s="33">
        <f>(C263*1.06194690265)+(-5.9)</f>
        <v>14.595575221144999</v>
      </c>
      <c r="H263" s="34">
        <f>(C263*1.19469026548)+(0)</f>
        <v>23.057522123764002</v>
      </c>
      <c r="I263" s="34">
        <f>(C263*1.16814159292)+(-2)</f>
        <v>20.545132743356003</v>
      </c>
      <c r="J263" s="34">
        <f>(C263*1.1238938053)+(-3.9)</f>
        <v>17.791150442290004</v>
      </c>
      <c r="K263" s="34">
        <f>(C263*1.07964601769)+(-5.6)</f>
        <v>15.237168141417003</v>
      </c>
    </row>
    <row r="264" spans="1:11" s="21" customFormat="1" ht="19.95" customHeight="1" x14ac:dyDescent="0.25">
      <c r="A264" s="13" t="str">
        <f>"15745"</f>
        <v>15745</v>
      </c>
      <c r="B264" s="14" t="s">
        <v>614</v>
      </c>
      <c r="C264" s="13" t="str">
        <f>"13.8"</f>
        <v>13.8</v>
      </c>
      <c r="D264" s="32">
        <f>(C264*1.24778761061)+(0.4)</f>
        <v>17.619469026418002</v>
      </c>
      <c r="E264" s="33">
        <f>(C264*1.16814159292)+(-1)</f>
        <v>15.120353982296002</v>
      </c>
      <c r="F264" s="33">
        <f>(C264*1.1238938053)+(-4.4)</f>
        <v>11.109734513140001</v>
      </c>
      <c r="G264" s="33">
        <f>(C264*1.06194690265)+(-5.9)</f>
        <v>8.7548672565699999</v>
      </c>
      <c r="H264" s="34">
        <f>(C264*1.19469026548)+(0)</f>
        <v>16.486725663624</v>
      </c>
      <c r="I264" s="34">
        <f>(C264*1.16814159292)+(-2)</f>
        <v>14.120353982296002</v>
      </c>
      <c r="J264" s="34">
        <f>(C264*1.1238938053)+(-3.9)</f>
        <v>11.609734513140001</v>
      </c>
      <c r="K264" s="34">
        <f>(C264*1.07964601769)+(-5.6)</f>
        <v>9.2991150441220007</v>
      </c>
    </row>
    <row r="265" spans="1:11" s="21" customFormat="1" ht="19.95" customHeight="1" x14ac:dyDescent="0.25">
      <c r="A265" s="13" t="str">
        <f>"64114"</f>
        <v>64114</v>
      </c>
      <c r="B265" s="14" t="s">
        <v>615</v>
      </c>
      <c r="C265" s="13" t="str">
        <f>"10.4"</f>
        <v>10.4</v>
      </c>
      <c r="D265" s="32">
        <f>(C265*1.24778761061)+(0.4)</f>
        <v>13.376991150344002</v>
      </c>
      <c r="E265" s="33">
        <f>(C265*1.16814159292)+(-1)</f>
        <v>11.148672566368001</v>
      </c>
      <c r="F265" s="33">
        <f>(C265*1.1238938053)+(-4.4)</f>
        <v>7.2884955751200007</v>
      </c>
      <c r="G265" s="33">
        <f>(C265*1.06194690265)+(-5.9)</f>
        <v>5.1442477875599995</v>
      </c>
      <c r="H265" s="34">
        <f>(C265*1.19469026548)+(0)</f>
        <v>12.424778760992</v>
      </c>
      <c r="I265" s="34">
        <f>(C265*1.16814159292)+(-2)</f>
        <v>10.148672566368001</v>
      </c>
      <c r="J265" s="34">
        <f>(C265*1.1238938053)+(-3.9)</f>
        <v>7.7884955751200007</v>
      </c>
      <c r="K265" s="34">
        <f>(C265*1.07964601769)+(-5.6)</f>
        <v>5.6283185839760002</v>
      </c>
    </row>
    <row r="266" spans="1:11" s="21" customFormat="1" ht="19.95" customHeight="1" x14ac:dyDescent="0.25">
      <c r="A266" s="13" t="str">
        <f>"15743"</f>
        <v>15743</v>
      </c>
      <c r="B266" s="14" t="s">
        <v>616</v>
      </c>
      <c r="C266" s="13" t="str">
        <f>"12.3"</f>
        <v>12.3</v>
      </c>
      <c r="D266" s="32">
        <f>(C266*1.24778761061)+(0.4)</f>
        <v>15.747787610503002</v>
      </c>
      <c r="E266" s="33">
        <f>(C266*1.16814159292)+(-1)</f>
        <v>13.368141592916002</v>
      </c>
      <c r="F266" s="33">
        <f>(C266*1.1238938053)+(-4.4)</f>
        <v>9.4238938051900014</v>
      </c>
      <c r="G266" s="33">
        <f>(C266*1.06194690265)+(-5.9)</f>
        <v>7.161946902595</v>
      </c>
      <c r="H266" s="34">
        <f>(C266*1.19469026548)+(0)</f>
        <v>14.694690265404001</v>
      </c>
      <c r="I266" s="34">
        <f>(C266*1.16814159292)+(-2)</f>
        <v>12.368141592916002</v>
      </c>
      <c r="J266" s="34">
        <f>(C266*1.1238938053)+(-3.9)</f>
        <v>9.9238938051900014</v>
      </c>
      <c r="K266" s="34">
        <f>(C266*1.07964601769)+(-5.6)</f>
        <v>7.679646017587002</v>
      </c>
    </row>
    <row r="267" spans="1:11" s="21" customFormat="1" ht="19.95" customHeight="1" x14ac:dyDescent="0.25">
      <c r="A267" s="13" t="str">
        <f>"42808"</f>
        <v>42808</v>
      </c>
      <c r="B267" s="14" t="s">
        <v>617</v>
      </c>
      <c r="C267" s="13" t="str">
        <f>"28.3"</f>
        <v>28.3</v>
      </c>
      <c r="D267" s="32">
        <f>(C267*1.24778761061)+(0.4)</f>
        <v>35.712389380263005</v>
      </c>
      <c r="E267" s="33">
        <f>(C267*1.16814159292)+(-1)</f>
        <v>32.058407079636005</v>
      </c>
      <c r="F267" s="33">
        <f>(C267*1.1238938053)+(-4.4)</f>
        <v>27.406194689990002</v>
      </c>
      <c r="G267" s="33">
        <f>(C267*1.06194690265)+(-5.9)</f>
        <v>24.153097344994997</v>
      </c>
      <c r="H267" s="34">
        <f>(C267*1.19469026548)+(0)</f>
        <v>33.809734513084003</v>
      </c>
      <c r="I267" s="34">
        <f>(C267*1.16814159292)+(-2)</f>
        <v>31.058407079636005</v>
      </c>
      <c r="J267" s="34">
        <f>(C267*1.1238938053)+(-3.9)</f>
        <v>27.906194689990002</v>
      </c>
      <c r="K267" s="34">
        <f>(C267*1.07964601769)+(-5.6)</f>
        <v>24.953982300627004</v>
      </c>
    </row>
    <row r="268" spans="1:11" s="21" customFormat="1" ht="19.95" customHeight="1" x14ac:dyDescent="0.25">
      <c r="A268" s="13" t="str">
        <f>"1015510"</f>
        <v>1015510</v>
      </c>
      <c r="B268" s="14" t="s">
        <v>618</v>
      </c>
      <c r="C268" s="13" t="str">
        <f>"20.4"</f>
        <v>20.4</v>
      </c>
      <c r="D268" s="32">
        <f>(C268*1.24778761061)+(0.4)</f>
        <v>25.854867256443999</v>
      </c>
      <c r="E268" s="33">
        <f>(C268*1.16814159292)+(-1)</f>
        <v>22.830088495567999</v>
      </c>
      <c r="F268" s="33">
        <f>(C268*1.1238938053)+(-4.4)</f>
        <v>18.527433628120001</v>
      </c>
      <c r="G268" s="33">
        <f>(C268*1.06194690265)+(-5.9)</f>
        <v>15.763716814059995</v>
      </c>
      <c r="H268" s="34">
        <f>(C268*1.19469026548)+(0)</f>
        <v>24.371681415791997</v>
      </c>
      <c r="I268" s="34">
        <f>(C268*1.16814159292)+(-2)</f>
        <v>21.830088495567999</v>
      </c>
      <c r="J268" s="34">
        <f>(C268*1.1238938053)+(-3.9)</f>
        <v>19.027433628120001</v>
      </c>
      <c r="K268" s="34">
        <f>(C268*1.07964601769)+(-5.6)</f>
        <v>16.424778760876002</v>
      </c>
    </row>
    <row r="269" spans="1:11" s="21" customFormat="1" ht="19.95" customHeight="1" x14ac:dyDescent="0.25">
      <c r="A269" s="13" t="str">
        <f>"1015511"</f>
        <v>1015511</v>
      </c>
      <c r="B269" s="14" t="s">
        <v>619</v>
      </c>
      <c r="C269" s="13" t="str">
        <f>"20.6"</f>
        <v>20.6</v>
      </c>
      <c r="D269" s="32">
        <f>(C269*1.24778761061)+(0.4)</f>
        <v>26.104424778566003</v>
      </c>
      <c r="E269" s="33">
        <f>(C269*1.16814159292)+(-1)</f>
        <v>23.063716814152002</v>
      </c>
      <c r="F269" s="33">
        <f>(C269*1.1238938053)+(-4.4)</f>
        <v>18.752212389180002</v>
      </c>
      <c r="G269" s="33">
        <f>(C269*1.06194690265)+(-5.9)</f>
        <v>15.976106194590001</v>
      </c>
      <c r="H269" s="34">
        <f>(C269*1.19469026548)+(0)</f>
        <v>24.610619468888</v>
      </c>
      <c r="I269" s="34">
        <f>(C269*1.16814159292)+(-2)</f>
        <v>22.063716814152002</v>
      </c>
      <c r="J269" s="34">
        <f>(C269*1.1238938053)+(-3.9)</f>
        <v>19.252212389180006</v>
      </c>
      <c r="K269" s="34">
        <f>(C269*1.07964601769)+(-5.6)</f>
        <v>16.640707964414005</v>
      </c>
    </row>
    <row r="270" spans="1:11" s="21" customFormat="1" ht="19.95" customHeight="1" x14ac:dyDescent="0.25">
      <c r="A270" s="13" t="str">
        <f>"38691"</f>
        <v>38691</v>
      </c>
      <c r="B270" s="14" t="s">
        <v>620</v>
      </c>
      <c r="C270" s="13" t="str">
        <f>"18.5"</f>
        <v>18.5</v>
      </c>
      <c r="D270" s="32">
        <f>(C270*1.24778761061)+(0.4)</f>
        <v>23.484070796285</v>
      </c>
      <c r="E270" s="33">
        <f>(C270*1.16814159292)+(-1)</f>
        <v>20.610619469020001</v>
      </c>
      <c r="F270" s="33">
        <f>(C270*1.1238938053)+(-4.4)</f>
        <v>16.392035398049998</v>
      </c>
      <c r="G270" s="33">
        <f>(C270*1.06194690265)+(-5.9)</f>
        <v>13.746017699024998</v>
      </c>
      <c r="H270" s="34">
        <f>(C270*1.19469026548)+(0)</f>
        <v>22.10176991138</v>
      </c>
      <c r="I270" s="34">
        <f>(C270*1.16814159292)+(-2)</f>
        <v>19.610619469020001</v>
      </c>
      <c r="J270" s="34">
        <f>(C270*1.1238938053)+(-3.9)</f>
        <v>16.892035398050002</v>
      </c>
      <c r="K270" s="34">
        <f>(C270*1.07964601769)+(-5.6)</f>
        <v>14.373451327265</v>
      </c>
    </row>
    <row r="271" spans="1:11" s="21" customFormat="1" ht="19.95" customHeight="1" x14ac:dyDescent="0.25">
      <c r="A271" s="13" t="str">
        <f>"67287"</f>
        <v>67287</v>
      </c>
      <c r="B271" s="14" t="s">
        <v>621</v>
      </c>
      <c r="C271" s="13" t="str">
        <f>"15.8"</f>
        <v>15.8</v>
      </c>
      <c r="D271" s="32">
        <f>(C271*1.24778761061)+(0.4)</f>
        <v>20.115044247638</v>
      </c>
      <c r="E271" s="33">
        <f>(C271*1.16814159292)+(-1)</f>
        <v>17.456637168136002</v>
      </c>
      <c r="F271" s="33">
        <f>(C271*1.1238938053)+(-4.4)</f>
        <v>13.357522123740003</v>
      </c>
      <c r="G271" s="33">
        <f>(C271*1.06194690265)+(-5.9)</f>
        <v>10.87876106187</v>
      </c>
      <c r="H271" s="34">
        <f>(C271*1.19469026548)+(0)</f>
        <v>18.876106194584001</v>
      </c>
      <c r="I271" s="34">
        <f>(C271*1.16814159292)+(-2)</f>
        <v>16.456637168136002</v>
      </c>
      <c r="J271" s="34">
        <f>(C271*1.1238938053)+(-3.9)</f>
        <v>13.857522123740003</v>
      </c>
      <c r="K271" s="34">
        <f>(C271*1.07964601769)+(-5.6)</f>
        <v>11.458407079502001</v>
      </c>
    </row>
    <row r="272" spans="1:11" s="21" customFormat="1" ht="19.95" customHeight="1" x14ac:dyDescent="0.25">
      <c r="A272" s="13" t="str">
        <f>"42472"</f>
        <v>42472</v>
      </c>
      <c r="B272" s="14" t="s">
        <v>622</v>
      </c>
      <c r="C272" s="13" t="str">
        <f>"15.0"</f>
        <v>15.0</v>
      </c>
      <c r="D272" s="32">
        <f>(C272*1.24778761061)+(0.4)</f>
        <v>19.11681415915</v>
      </c>
      <c r="E272" s="33">
        <f>(C272*1.16814159292)+(-1)</f>
        <v>16.5221238938</v>
      </c>
      <c r="F272" s="33">
        <f>(C272*1.1238938053)+(-4.4)</f>
        <v>12.458407079500001</v>
      </c>
      <c r="G272" s="33">
        <f>(C272*1.06194690265)+(-5.9)</f>
        <v>10.029203539749998</v>
      </c>
      <c r="H272" s="34">
        <f>(C272*1.19469026548)+(0)</f>
        <v>17.920353982200002</v>
      </c>
      <c r="I272" s="34">
        <f>(C272*1.16814159292)+(-2)</f>
        <v>15.5221238938</v>
      </c>
      <c r="J272" s="34">
        <f>(C272*1.1238938053)+(-3.9)</f>
        <v>12.958407079500001</v>
      </c>
      <c r="K272" s="34">
        <f>(C272*1.07964601769)+(-5.6)</f>
        <v>10.594690265350001</v>
      </c>
    </row>
    <row r="273" spans="1:11" s="21" customFormat="1" ht="19.95" customHeight="1" x14ac:dyDescent="0.25">
      <c r="A273" s="13" t="str">
        <f>"72315"</f>
        <v>72315</v>
      </c>
      <c r="B273" s="14" t="s">
        <v>623</v>
      </c>
      <c r="C273" s="13" t="str">
        <f>"11.4"</f>
        <v>11.4</v>
      </c>
      <c r="D273" s="32">
        <f>(C273*1.24778761061)+(0.4)</f>
        <v>14.624778760954001</v>
      </c>
      <c r="E273" s="33">
        <f>(C273*1.16814159292)+(-1)</f>
        <v>12.316814159288</v>
      </c>
      <c r="F273" s="33">
        <f>(C273*1.1238938053)+(-4.4)</f>
        <v>8.4123893804200005</v>
      </c>
      <c r="G273" s="33">
        <f>(C273*1.06194690265)+(-5.9)</f>
        <v>6.2061946902099994</v>
      </c>
      <c r="H273" s="34">
        <f>(C273*1.19469026548)+(0)</f>
        <v>13.619469026472</v>
      </c>
      <c r="I273" s="34">
        <f>(C273*1.16814159292)+(-2)</f>
        <v>11.316814159288</v>
      </c>
      <c r="J273" s="34">
        <f>(C273*1.1238938053)+(-3.9)</f>
        <v>8.9123893804200005</v>
      </c>
      <c r="K273" s="34">
        <f>(C273*1.07964601769)+(-5.6)</f>
        <v>6.7079646016660011</v>
      </c>
    </row>
    <row r="274" spans="1:11" s="21" customFormat="1" ht="19.95" customHeight="1" x14ac:dyDescent="0.25">
      <c r="A274" s="13" t="str">
        <f>"15747"</f>
        <v>15747</v>
      </c>
      <c r="B274" s="14" t="s">
        <v>624</v>
      </c>
      <c r="C274" s="13" t="str">
        <f>"13.4"</f>
        <v>13.4</v>
      </c>
      <c r="D274" s="32">
        <f>(C274*1.24778761061)+(0.4)</f>
        <v>17.120353982173999</v>
      </c>
      <c r="E274" s="33">
        <f>(C274*1.16814159292)+(-1)</f>
        <v>14.653097345128002</v>
      </c>
      <c r="F274" s="33">
        <f>(C274*1.1238938053)+(-4.4)</f>
        <v>10.66017699102</v>
      </c>
      <c r="G274" s="33">
        <f>(C274*1.06194690265)+(-5.9)</f>
        <v>8.3300884955099992</v>
      </c>
      <c r="H274" s="34">
        <f>(C274*1.19469026548)+(0)</f>
        <v>16.008849557432001</v>
      </c>
      <c r="I274" s="34">
        <f>(C274*1.16814159292)+(-2)</f>
        <v>13.653097345128002</v>
      </c>
      <c r="J274" s="34">
        <f>(C274*1.1238938053)+(-3.9)</f>
        <v>11.16017699102</v>
      </c>
      <c r="K274" s="34">
        <f>(C274*1.07964601769)+(-5.6)</f>
        <v>8.8672566370460011</v>
      </c>
    </row>
    <row r="275" spans="1:11" s="21" customFormat="1" ht="19.95" customHeight="1" x14ac:dyDescent="0.25">
      <c r="A275" s="13" t="str">
        <f>"49671"</f>
        <v>49671</v>
      </c>
      <c r="B275" s="14" t="s">
        <v>625</v>
      </c>
      <c r="C275" s="13" t="str">
        <f>"21.9"</f>
        <v>21.9</v>
      </c>
      <c r="D275" s="32">
        <f>(C275*1.24778761061)+(0.4)</f>
        <v>27.726548672358998</v>
      </c>
      <c r="E275" s="33">
        <f>(C275*1.16814159292)+(-1)</f>
        <v>24.582300884948001</v>
      </c>
      <c r="F275" s="33">
        <f>(C275*1.1238938053)+(-4.4)</f>
        <v>20.21327433607</v>
      </c>
      <c r="G275" s="33">
        <f>(C275*1.06194690265)+(-5.9)</f>
        <v>17.356637168034993</v>
      </c>
      <c r="H275" s="34">
        <f>(C275*1.19469026548)+(0)</f>
        <v>26.163716814011998</v>
      </c>
      <c r="I275" s="34">
        <f>(C275*1.16814159292)+(-2)</f>
        <v>23.582300884948001</v>
      </c>
      <c r="J275" s="34">
        <f>(C275*1.1238938053)+(-3.9)</f>
        <v>20.71327433607</v>
      </c>
      <c r="K275" s="34">
        <f>(C275*1.07964601769)+(-5.6)</f>
        <v>18.044247787411003</v>
      </c>
    </row>
    <row r="276" spans="1:11" s="21" customFormat="1" ht="19.95" customHeight="1" x14ac:dyDescent="0.25">
      <c r="A276" s="13" t="str">
        <f>"49282"</f>
        <v>49282</v>
      </c>
      <c r="B276" s="14" t="s">
        <v>626</v>
      </c>
      <c r="C276" s="13" t="str">
        <f>"16.5"</f>
        <v>16.5</v>
      </c>
      <c r="D276" s="32">
        <f>(C276*1.24778761061)+(0.4)</f>
        <v>20.988495575064999</v>
      </c>
      <c r="E276" s="33">
        <f>(C276*1.16814159292)+(-1)</f>
        <v>18.274336283180002</v>
      </c>
      <c r="F276" s="33">
        <f>(C276*1.1238938053)+(-4.4)</f>
        <v>14.14424778745</v>
      </c>
      <c r="G276" s="33">
        <f>(C276*1.06194690265)+(-5.9)</f>
        <v>11.622123893724998</v>
      </c>
      <c r="H276" s="34">
        <f>(C276*1.19469026548)+(0)</f>
        <v>19.712389380419999</v>
      </c>
      <c r="I276" s="34">
        <f>(C276*1.16814159292)+(-2)</f>
        <v>17.274336283180002</v>
      </c>
      <c r="J276" s="34">
        <f>(C276*1.1238938053)+(-3.9)</f>
        <v>14.64424778745</v>
      </c>
      <c r="K276" s="34">
        <f>(C276*1.07964601769)+(-5.6)</f>
        <v>12.214159291885002</v>
      </c>
    </row>
    <row r="277" spans="1:11" s="21" customFormat="1" ht="19.95" customHeight="1" x14ac:dyDescent="0.25">
      <c r="A277" s="13" t="str">
        <f>"70034"</f>
        <v>70034</v>
      </c>
      <c r="B277" s="14" t="s">
        <v>627</v>
      </c>
      <c r="C277" s="13" t="str">
        <f>"11.4"</f>
        <v>11.4</v>
      </c>
      <c r="D277" s="32">
        <f>(C277*1.24778761061)+(0.4)</f>
        <v>14.624778760954001</v>
      </c>
      <c r="E277" s="33">
        <f>(C277*1.16814159292)+(-1)</f>
        <v>12.316814159288</v>
      </c>
      <c r="F277" s="33">
        <f>(C277*1.1238938053)+(-4.4)</f>
        <v>8.4123893804200005</v>
      </c>
      <c r="G277" s="33">
        <f>(C277*1.06194690265)+(-5.9)</f>
        <v>6.2061946902099994</v>
      </c>
      <c r="H277" s="34">
        <f>(C277*1.19469026548)+(0)</f>
        <v>13.619469026472</v>
      </c>
      <c r="I277" s="34">
        <f>(C277*1.16814159292)+(-2)</f>
        <v>11.316814159288</v>
      </c>
      <c r="J277" s="34">
        <f>(C277*1.1238938053)+(-3.9)</f>
        <v>8.9123893804200005</v>
      </c>
      <c r="K277" s="34">
        <f>(C277*1.07964601769)+(-5.6)</f>
        <v>6.7079646016660011</v>
      </c>
    </row>
    <row r="278" spans="1:11" s="21" customFormat="1" ht="19.95" customHeight="1" x14ac:dyDescent="0.25">
      <c r="A278" s="13" t="str">
        <f>"42473"</f>
        <v>42473</v>
      </c>
      <c r="B278" s="14" t="s">
        <v>628</v>
      </c>
      <c r="C278" s="13" t="str">
        <f>"23.7"</f>
        <v>23.7</v>
      </c>
      <c r="D278" s="32">
        <f>(C278*1.24778761061)+(0.4)</f>
        <v>29.972566371456999</v>
      </c>
      <c r="E278" s="33">
        <f>(C278*1.16814159292)+(-1)</f>
        <v>26.684955752204001</v>
      </c>
      <c r="F278" s="33">
        <f>(C278*1.1238938053)+(-4.4)</f>
        <v>22.236283185609999</v>
      </c>
      <c r="G278" s="33">
        <f>(C278*1.06194690265)+(-5.9)</f>
        <v>19.268141592804994</v>
      </c>
      <c r="H278" s="34">
        <f>(C278*1.19469026548)+(0)</f>
        <v>28.314159291875999</v>
      </c>
      <c r="I278" s="34">
        <f>(C278*1.16814159292)+(-2)</f>
        <v>25.684955752204001</v>
      </c>
      <c r="J278" s="34">
        <f>(C278*1.1238938053)+(-3.9)</f>
        <v>22.736283185610002</v>
      </c>
      <c r="K278" s="34">
        <f>(C278*1.07964601769)+(-5.6)</f>
        <v>19.987610619252997</v>
      </c>
    </row>
    <row r="279" spans="1:11" s="21" customFormat="1" ht="19.95" customHeight="1" x14ac:dyDescent="0.25">
      <c r="A279" s="13" t="str">
        <f>"72527"</f>
        <v>72527</v>
      </c>
      <c r="B279" s="14" t="s">
        <v>629</v>
      </c>
      <c r="C279" s="13" t="str">
        <f>"18.8"</f>
        <v>18.8</v>
      </c>
      <c r="D279" s="32">
        <f>(C279*1.24778761061)+(0.4)</f>
        <v>23.858407079468002</v>
      </c>
      <c r="E279" s="33">
        <f>(C279*1.16814159292)+(-1)</f>
        <v>20.961061946896002</v>
      </c>
      <c r="F279" s="33">
        <f>(C279*1.1238938053)+(-4.4)</f>
        <v>16.729203539640004</v>
      </c>
      <c r="G279" s="33">
        <f>(C279*1.06194690265)+(-5.9)</f>
        <v>14.064601769819999</v>
      </c>
      <c r="H279" s="34">
        <f>(C279*1.19469026548)+(0)</f>
        <v>22.460176991023999</v>
      </c>
      <c r="I279" s="34">
        <f>(C279*1.16814159292)+(-2)</f>
        <v>19.961061946896002</v>
      </c>
      <c r="J279" s="34">
        <f>(C279*1.1238938053)+(-3.9)</f>
        <v>17.229203539640004</v>
      </c>
      <c r="K279" s="34">
        <f>(C279*1.07964601769)+(-5.6)</f>
        <v>14.697345132572002</v>
      </c>
    </row>
    <row r="280" spans="1:11" s="21" customFormat="1" ht="19.95" customHeight="1" x14ac:dyDescent="0.25">
      <c r="A280" s="13" t="str">
        <f>"15751"</f>
        <v>15751</v>
      </c>
      <c r="B280" s="14" t="s">
        <v>630</v>
      </c>
      <c r="C280" s="13" t="str">
        <f>"13.6"</f>
        <v>13.6</v>
      </c>
      <c r="D280" s="32">
        <f>(C280*1.24778761061)+(0.4)</f>
        <v>17.369911504295999</v>
      </c>
      <c r="E280" s="33">
        <f>(C280*1.16814159292)+(-1)</f>
        <v>14.886725663712001</v>
      </c>
      <c r="F280" s="33">
        <f>(C280*1.1238938053)+(-4.4)</f>
        <v>10.88495575208</v>
      </c>
      <c r="G280" s="33">
        <f>(C280*1.06194690265)+(-5.9)</f>
        <v>8.5424778760399978</v>
      </c>
      <c r="H280" s="34">
        <f>(C280*1.19469026548)+(0)</f>
        <v>16.247787610528</v>
      </c>
      <c r="I280" s="34">
        <f>(C280*1.16814159292)+(-2)</f>
        <v>13.886725663712001</v>
      </c>
      <c r="J280" s="34">
        <f>(C280*1.1238938053)+(-3.9)</f>
        <v>11.38495575208</v>
      </c>
      <c r="K280" s="34">
        <f>(C280*1.07964601769)+(-5.6)</f>
        <v>9.0831858405840009</v>
      </c>
    </row>
    <row r="281" spans="1:11" s="21" customFormat="1" ht="19.95" customHeight="1" x14ac:dyDescent="0.25">
      <c r="A281" s="13" t="str">
        <f>"15755"</f>
        <v>15755</v>
      </c>
      <c r="B281" s="14" t="s">
        <v>631</v>
      </c>
      <c r="C281" s="13" t="str">
        <f>"18.6"</f>
        <v>18.6</v>
      </c>
      <c r="D281" s="32">
        <f>(C281*1.24778761061)+(0.4)</f>
        <v>23.608849557346002</v>
      </c>
      <c r="E281" s="33">
        <f>(C281*1.16814159292)+(-1)</f>
        <v>20.727433628312003</v>
      </c>
      <c r="F281" s="33">
        <f>(C281*1.1238938053)+(-4.4)</f>
        <v>16.504424778580002</v>
      </c>
      <c r="G281" s="33">
        <f>(C281*1.06194690265)+(-5.9)</f>
        <v>13.852212389290001</v>
      </c>
      <c r="H281" s="34">
        <f>(C281*1.19469026548)+(0)</f>
        <v>22.221238937928003</v>
      </c>
      <c r="I281" s="34">
        <f>(C281*1.16814159292)+(-2)</f>
        <v>19.727433628312003</v>
      </c>
      <c r="J281" s="34">
        <f>(C281*1.1238938053)+(-3.9)</f>
        <v>17.004424778580002</v>
      </c>
      <c r="K281" s="34">
        <f>(C281*1.07964601769)+(-5.6)</f>
        <v>14.481415929034002</v>
      </c>
    </row>
    <row r="282" spans="1:11" s="21" customFormat="1" ht="19.95" customHeight="1" x14ac:dyDescent="0.25">
      <c r="A282" s="13" t="str">
        <f>"15756"</f>
        <v>15756</v>
      </c>
      <c r="B282" s="14" t="s">
        <v>632</v>
      </c>
      <c r="C282" s="13" t="str">
        <f>"22.9"</f>
        <v>22.9</v>
      </c>
      <c r="D282" s="32">
        <f>(C282*1.24778761061)+(0.4)</f>
        <v>28.974336282968999</v>
      </c>
      <c r="E282" s="33">
        <f>(C282*1.16814159292)+(-1)</f>
        <v>25.750442477867999</v>
      </c>
      <c r="F282" s="33">
        <f>(C282*1.1238938053)+(-4.4)</f>
        <v>21.33716814137</v>
      </c>
      <c r="G282" s="33">
        <f>(C282*1.06194690265)+(-5.9)</f>
        <v>18.418584070684993</v>
      </c>
      <c r="H282" s="34">
        <f>(C282*1.19469026548)+(0)</f>
        <v>27.358407079492</v>
      </c>
      <c r="I282" s="34">
        <f>(C282*1.16814159292)+(-2)</f>
        <v>24.750442477867999</v>
      </c>
      <c r="J282" s="34">
        <f>(C282*1.1238938053)+(-3.9)</f>
        <v>21.83716814137</v>
      </c>
      <c r="K282" s="34">
        <f>(C282*1.07964601769)+(-5.6)</f>
        <v>19.123893805100998</v>
      </c>
    </row>
    <row r="283" spans="1:11" s="21" customFormat="1" ht="19.95" customHeight="1" x14ac:dyDescent="0.25">
      <c r="A283" s="13" t="str">
        <f>"16811"</f>
        <v>16811</v>
      </c>
      <c r="B283" s="14" t="s">
        <v>633</v>
      </c>
      <c r="C283" s="13" t="str">
        <f>"27.6"</f>
        <v>27.6</v>
      </c>
      <c r="D283" s="32">
        <f>(C283*1.24778761061)+(0.4)</f>
        <v>34.838938052836006</v>
      </c>
      <c r="E283" s="33">
        <f>(C283*1.16814159292)+(-1)</f>
        <v>31.240707964592005</v>
      </c>
      <c r="F283" s="33">
        <f>(C283*1.1238938053)+(-4.4)</f>
        <v>26.619469026280001</v>
      </c>
      <c r="G283" s="33">
        <f>(C283*1.06194690265)+(-5.9)</f>
        <v>23.409734513140002</v>
      </c>
      <c r="H283" s="34">
        <f>(C283*1.19469026548)+(0)</f>
        <v>32.973451327248</v>
      </c>
      <c r="I283" s="34">
        <f>(C283*1.16814159292)+(-2)</f>
        <v>30.240707964592005</v>
      </c>
      <c r="J283" s="34">
        <f>(C283*1.1238938053)+(-3.9)</f>
        <v>27.119469026280004</v>
      </c>
      <c r="K283" s="34">
        <f>(C283*1.07964601769)+(-5.6)</f>
        <v>24.198230088244003</v>
      </c>
    </row>
    <row r="284" spans="1:11" s="21" customFormat="1" ht="19.95" customHeight="1" x14ac:dyDescent="0.25">
      <c r="A284" s="13" t="str">
        <f>"41461"</f>
        <v>41461</v>
      </c>
      <c r="B284" s="14" t="s">
        <v>634</v>
      </c>
      <c r="C284" s="13" t="str">
        <f>"13.5"</f>
        <v>13.5</v>
      </c>
      <c r="D284" s="32">
        <f>(C284*1.24778761061)+(0.4)</f>
        <v>17.245132743235001</v>
      </c>
      <c r="E284" s="33">
        <f>(C284*1.16814159292)+(-1)</f>
        <v>14.769911504420001</v>
      </c>
      <c r="F284" s="33">
        <f>(C284*1.1238938053)+(-4.4)</f>
        <v>10.772566371550001</v>
      </c>
      <c r="G284" s="33">
        <f>(C284*1.06194690265)+(-5.9)</f>
        <v>8.4362831857749985</v>
      </c>
      <c r="H284" s="34">
        <f>(C284*1.19469026548)+(0)</f>
        <v>16.128318583980001</v>
      </c>
      <c r="I284" s="34">
        <f>(C284*1.16814159292)+(-2)</f>
        <v>13.769911504420001</v>
      </c>
      <c r="J284" s="34">
        <f>(C284*1.1238938053)+(-3.9)</f>
        <v>11.272566371550001</v>
      </c>
      <c r="K284" s="34">
        <f>(C284*1.07964601769)+(-5.6)</f>
        <v>8.975221238815001</v>
      </c>
    </row>
    <row r="285" spans="1:11" s="21" customFormat="1" ht="19.95" customHeight="1" x14ac:dyDescent="0.25">
      <c r="A285" s="13" t="str">
        <f>"15759"</f>
        <v>15759</v>
      </c>
      <c r="B285" s="14" t="s">
        <v>635</v>
      </c>
      <c r="C285" s="13" t="str">
        <f>"33.8"</f>
        <v>33.8</v>
      </c>
      <c r="D285" s="32">
        <f>(C285*1.24778761061)+(0.4)</f>
        <v>42.575221238617999</v>
      </c>
      <c r="E285" s="33">
        <f>(C285*1.16814159292)+(-1)</f>
        <v>38.483185840696002</v>
      </c>
      <c r="F285" s="33">
        <f>(C285*1.1238938053)+(-4.4)</f>
        <v>33.587610619140001</v>
      </c>
      <c r="G285" s="33">
        <f>(C285*1.06194690265)+(-5.9)</f>
        <v>29.993805309569993</v>
      </c>
      <c r="H285" s="34">
        <f>(C285*1.19469026548)+(0)</f>
        <v>40.380530973223998</v>
      </c>
      <c r="I285" s="34">
        <f>(C285*1.16814159292)+(-2)</f>
        <v>37.483185840696002</v>
      </c>
      <c r="J285" s="34">
        <f>(C285*1.1238938053)+(-3.9)</f>
        <v>34.087610619140001</v>
      </c>
      <c r="K285" s="34">
        <f>(C285*1.07964601769)+(-5.6)</f>
        <v>30.892035397921994</v>
      </c>
    </row>
    <row r="286" spans="1:11" s="21" customFormat="1" ht="19.95" customHeight="1" x14ac:dyDescent="0.25">
      <c r="A286" s="13" t="str">
        <f>"27853"</f>
        <v>27853</v>
      </c>
      <c r="B286" s="14" t="s">
        <v>636</v>
      </c>
      <c r="C286" s="13" t="str">
        <f>"19.5"</f>
        <v>19.5</v>
      </c>
      <c r="D286" s="32">
        <f>(C286*1.24778761061)+(0.4)</f>
        <v>24.731858406895</v>
      </c>
      <c r="E286" s="33">
        <f>(C286*1.16814159292)+(-1)</f>
        <v>21.778761061940003</v>
      </c>
      <c r="F286" s="33">
        <f>(C286*1.1238938053)+(-4.4)</f>
        <v>17.515929203349998</v>
      </c>
      <c r="G286" s="33">
        <f>(C286*1.06194690265)+(-5.9)</f>
        <v>14.807964601674998</v>
      </c>
      <c r="H286" s="34">
        <f>(C286*1.19469026548)+(0)</f>
        <v>23.296460176860002</v>
      </c>
      <c r="I286" s="34">
        <f>(C286*1.16814159292)+(-2)</f>
        <v>20.778761061940003</v>
      </c>
      <c r="J286" s="34">
        <f>(C286*1.1238938053)+(-3.9)</f>
        <v>18.015929203350002</v>
      </c>
      <c r="K286" s="34">
        <f>(C286*1.07964601769)+(-5.6)</f>
        <v>15.453097344954999</v>
      </c>
    </row>
    <row r="287" spans="1:11" s="21" customFormat="1" ht="19.95" customHeight="1" x14ac:dyDescent="0.25">
      <c r="A287" s="13" t="str">
        <f>"1010627"</f>
        <v>1010627</v>
      </c>
      <c r="B287" s="14" t="s">
        <v>637</v>
      </c>
      <c r="C287" s="13" t="str">
        <f>"29.4"</f>
        <v>29.4</v>
      </c>
      <c r="D287" s="32">
        <f>(C287*1.24778761061)+(0.4)</f>
        <v>37.084955751933997</v>
      </c>
      <c r="E287" s="33">
        <f>(C287*1.16814159292)+(-1)</f>
        <v>33.343362831847998</v>
      </c>
      <c r="F287" s="33">
        <f>(C287*1.1238938053)+(-4.4)</f>
        <v>28.642477875819999</v>
      </c>
      <c r="G287" s="33">
        <f>(C287*1.06194690265)+(-5.9)</f>
        <v>25.321238937909996</v>
      </c>
      <c r="H287" s="34">
        <f>(C287*1.19469026548)+(0)</f>
        <v>35.123893805111997</v>
      </c>
      <c r="I287" s="34">
        <f>(C287*1.16814159292)+(-2)</f>
        <v>32.343362831847998</v>
      </c>
      <c r="J287" s="34">
        <f>(C287*1.1238938053)+(-3.9)</f>
        <v>29.142477875819999</v>
      </c>
      <c r="K287" s="34">
        <f>(C287*1.07964601769)+(-5.6)</f>
        <v>26.141592920085998</v>
      </c>
    </row>
    <row r="288" spans="1:11" s="21" customFormat="1" ht="19.95" customHeight="1" x14ac:dyDescent="0.25">
      <c r="A288" s="13" t="str">
        <f>"72469"</f>
        <v>72469</v>
      </c>
      <c r="B288" s="14" t="s">
        <v>638</v>
      </c>
      <c r="C288" s="13" t="str">
        <f>"29.2"</f>
        <v>29.2</v>
      </c>
      <c r="D288" s="32">
        <f>(C288*1.24778761061)+(0.4)</f>
        <v>36.835398229812</v>
      </c>
      <c r="E288" s="33">
        <f>(C288*1.16814159292)+(-1)</f>
        <v>33.109734513264002</v>
      </c>
      <c r="F288" s="33">
        <f>(C288*1.1238938053)+(-4.4)</f>
        <v>28.417699114760005</v>
      </c>
      <c r="G288" s="33">
        <f>(C288*1.06194690265)+(-5.9)</f>
        <v>25.108849557379997</v>
      </c>
      <c r="H288" s="34">
        <f>(C288*1.19469026548)+(0)</f>
        <v>34.884955752015998</v>
      </c>
      <c r="I288" s="34">
        <f>(C288*1.16814159292)+(-2)</f>
        <v>32.109734513264002</v>
      </c>
      <c r="J288" s="34">
        <f>(C288*1.1238938053)+(-3.9)</f>
        <v>28.917699114760005</v>
      </c>
      <c r="K288" s="34">
        <f>(C288*1.07964601769)+(-5.6)</f>
        <v>25.925663716548002</v>
      </c>
    </row>
    <row r="289" spans="1:11" s="21" customFormat="1" ht="19.95" customHeight="1" x14ac:dyDescent="0.25">
      <c r="A289" s="13" t="str">
        <f>"80051"</f>
        <v>80051</v>
      </c>
      <c r="B289" s="14" t="s">
        <v>639</v>
      </c>
      <c r="C289" s="13" t="str">
        <f>"21.9"</f>
        <v>21.9</v>
      </c>
      <c r="D289" s="32">
        <f>(C289*1.24778761061)+(0.4)</f>
        <v>27.726548672358998</v>
      </c>
      <c r="E289" s="33">
        <f>(C289*1.16814159292)+(-1)</f>
        <v>24.582300884948001</v>
      </c>
      <c r="F289" s="33">
        <f>(C289*1.1238938053)+(-4.4)</f>
        <v>20.21327433607</v>
      </c>
      <c r="G289" s="33">
        <f>(C289*1.06194690265)+(-5.9)</f>
        <v>17.356637168034993</v>
      </c>
      <c r="H289" s="34">
        <f>(C289*1.19469026548)+(0)</f>
        <v>26.163716814011998</v>
      </c>
      <c r="I289" s="34">
        <f>(C289*1.16814159292)+(-2)</f>
        <v>23.582300884948001</v>
      </c>
      <c r="J289" s="34">
        <f>(C289*1.1238938053)+(-3.9)</f>
        <v>20.71327433607</v>
      </c>
      <c r="K289" s="34">
        <f>(C289*1.07964601769)+(-5.6)</f>
        <v>18.044247787411003</v>
      </c>
    </row>
    <row r="290" spans="1:11" s="21" customFormat="1" ht="19.95" customHeight="1" x14ac:dyDescent="0.25">
      <c r="A290" s="13" t="str">
        <f>"37290"</f>
        <v>37290</v>
      </c>
      <c r="B290" s="14" t="s">
        <v>640</v>
      </c>
      <c r="C290" s="13" t="str">
        <f>"16.3"</f>
        <v>16.3</v>
      </c>
      <c r="D290" s="32">
        <f>(C290*1.24778761061)+(0.4)</f>
        <v>20.738938052943002</v>
      </c>
      <c r="E290" s="33">
        <f>(C290*1.16814159292)+(-1)</f>
        <v>18.040707964596002</v>
      </c>
      <c r="F290" s="33">
        <f>(C290*1.1238938053)+(-4.4)</f>
        <v>13.919469026390002</v>
      </c>
      <c r="G290" s="33">
        <f>(C290*1.06194690265)+(-5.9)</f>
        <v>11.409734513195</v>
      </c>
      <c r="H290" s="34">
        <f>(C290*1.19469026548)+(0)</f>
        <v>19.473451327324</v>
      </c>
      <c r="I290" s="34">
        <f>(C290*1.16814159292)+(-2)</f>
        <v>17.040707964596002</v>
      </c>
      <c r="J290" s="34">
        <f>(C290*1.1238938053)+(-3.9)</f>
        <v>14.419469026390002</v>
      </c>
      <c r="K290" s="34">
        <f>(C290*1.07964601769)+(-5.6)</f>
        <v>11.998230088347002</v>
      </c>
    </row>
    <row r="291" spans="1:11" s="21" customFormat="1" ht="19.95" customHeight="1" x14ac:dyDescent="0.25">
      <c r="A291" s="13" t="str">
        <f>"12682"</f>
        <v>12682</v>
      </c>
      <c r="B291" s="14" t="s">
        <v>641</v>
      </c>
      <c r="C291" s="13" t="str">
        <f>"8.4"</f>
        <v>8.4</v>
      </c>
      <c r="D291" s="32">
        <f>(C291*1.24778761061)+(0.4)</f>
        <v>10.881415929124001</v>
      </c>
      <c r="E291" s="33">
        <f>(C291*1.16814159292)+(-1)</f>
        <v>8.8123893805280016</v>
      </c>
      <c r="F291" s="33">
        <f>(C291*1.1238938053)+(-4.4)</f>
        <v>5.040707964520001</v>
      </c>
      <c r="G291" s="33">
        <f>(C291*1.06194690265)+(-5.9)</f>
        <v>3.0203539822599996</v>
      </c>
      <c r="H291" s="34">
        <f>(C291*1.19469026548)+(0)</f>
        <v>10.035398230032001</v>
      </c>
      <c r="I291" s="34">
        <f>(C291*1.16814159292)+(-2)</f>
        <v>7.8123893805280016</v>
      </c>
      <c r="J291" s="34">
        <f>(C291*1.1238938053)+(-3.9)</f>
        <v>5.540707964520001</v>
      </c>
      <c r="K291" s="34">
        <f>(C291*1.07964601769)+(-5.6)</f>
        <v>3.4690265485960001</v>
      </c>
    </row>
    <row r="292" spans="1:11" s="21" customFormat="1" ht="19.95" customHeight="1" x14ac:dyDescent="0.25">
      <c r="A292" s="13" t="str">
        <f>"50739"</f>
        <v>50739</v>
      </c>
      <c r="B292" s="14" t="s">
        <v>642</v>
      </c>
      <c r="C292" s="13" t="str">
        <f>"18.5"</f>
        <v>18.5</v>
      </c>
      <c r="D292" s="32">
        <f>(C292*1.24778761061)+(0.4)</f>
        <v>23.484070796285</v>
      </c>
      <c r="E292" s="33">
        <f>(C292*1.16814159292)+(-1)</f>
        <v>20.610619469020001</v>
      </c>
      <c r="F292" s="33">
        <f>(C292*1.1238938053)+(-4.4)</f>
        <v>16.392035398049998</v>
      </c>
      <c r="G292" s="33">
        <f>(C292*1.06194690265)+(-5.9)</f>
        <v>13.746017699024998</v>
      </c>
      <c r="H292" s="34">
        <f>(C292*1.19469026548)+(0)</f>
        <v>22.10176991138</v>
      </c>
      <c r="I292" s="34">
        <f>(C292*1.16814159292)+(-2)</f>
        <v>19.610619469020001</v>
      </c>
      <c r="J292" s="34">
        <f>(C292*1.1238938053)+(-3.9)</f>
        <v>16.892035398050002</v>
      </c>
      <c r="K292" s="34">
        <f>(C292*1.07964601769)+(-5.6)</f>
        <v>14.373451327265</v>
      </c>
    </row>
    <row r="293" spans="1:11" s="21" customFormat="1" ht="19.95" customHeight="1" x14ac:dyDescent="0.25">
      <c r="A293" s="13" t="str">
        <f>"9087"</f>
        <v>9087</v>
      </c>
      <c r="B293" s="14" t="s">
        <v>643</v>
      </c>
      <c r="C293" s="13" t="str">
        <f>"23.7"</f>
        <v>23.7</v>
      </c>
      <c r="D293" s="32">
        <f>(C293*1.24778761061)+(0.4)</f>
        <v>29.972566371456999</v>
      </c>
      <c r="E293" s="33">
        <f>(C293*1.16814159292)+(-1)</f>
        <v>26.684955752204001</v>
      </c>
      <c r="F293" s="33">
        <f>(C293*1.1238938053)+(-4.4)</f>
        <v>22.236283185609999</v>
      </c>
      <c r="G293" s="33">
        <f>(C293*1.06194690265)+(-5.9)</f>
        <v>19.268141592804994</v>
      </c>
      <c r="H293" s="34">
        <f>(C293*1.19469026548)+(0)</f>
        <v>28.314159291875999</v>
      </c>
      <c r="I293" s="34">
        <f>(C293*1.16814159292)+(-2)</f>
        <v>25.684955752204001</v>
      </c>
      <c r="J293" s="34">
        <f>(C293*1.1238938053)+(-3.9)</f>
        <v>22.736283185610002</v>
      </c>
      <c r="K293" s="34">
        <f>(C293*1.07964601769)+(-5.6)</f>
        <v>19.987610619252997</v>
      </c>
    </row>
    <row r="294" spans="1:11" s="21" customFormat="1" ht="19.95" customHeight="1" x14ac:dyDescent="0.25">
      <c r="A294" s="13" t="str">
        <f>"60899"</f>
        <v>60899</v>
      </c>
      <c r="B294" s="14" t="s">
        <v>644</v>
      </c>
      <c r="C294" s="13" t="str">
        <f>"17.7"</f>
        <v>17.7</v>
      </c>
      <c r="D294" s="32">
        <f>(C294*1.24778761061)+(0.4)</f>
        <v>22.485840707796999</v>
      </c>
      <c r="E294" s="33">
        <f>(C294*1.16814159292)+(-1)</f>
        <v>19.676106194683999</v>
      </c>
      <c r="F294" s="33">
        <f>(C294*1.1238938053)+(-4.4)</f>
        <v>15.492920353809998</v>
      </c>
      <c r="G294" s="33">
        <f>(C294*1.06194690265)+(-5.9)</f>
        <v>12.896460176904997</v>
      </c>
      <c r="H294" s="34">
        <f>(C294*1.19469026548)+(0)</f>
        <v>21.146017698996001</v>
      </c>
      <c r="I294" s="34">
        <f>(C294*1.16814159292)+(-2)</f>
        <v>18.676106194683999</v>
      </c>
      <c r="J294" s="34">
        <f>(C294*1.1238938053)+(-3.9)</f>
        <v>15.992920353809998</v>
      </c>
      <c r="K294" s="34">
        <f>(C294*1.07964601769)+(-5.6)</f>
        <v>13.509734513113001</v>
      </c>
    </row>
    <row r="295" spans="1:11" s="21" customFormat="1" ht="19.95" customHeight="1" x14ac:dyDescent="0.25">
      <c r="A295" s="13" t="str">
        <f>"21702"</f>
        <v>21702</v>
      </c>
      <c r="B295" s="14" t="s">
        <v>645</v>
      </c>
      <c r="C295" s="13" t="str">
        <f>"17.5"</f>
        <v>17.5</v>
      </c>
      <c r="D295" s="32">
        <f>(C295*1.24778761061)+(0.4)</f>
        <v>22.236283185674999</v>
      </c>
      <c r="E295" s="33">
        <f>(C295*1.16814159292)+(-1)</f>
        <v>19.4424778761</v>
      </c>
      <c r="F295" s="33">
        <f>(C295*1.1238938053)+(-4.4)</f>
        <v>15.26814159275</v>
      </c>
      <c r="G295" s="33">
        <f>(C295*1.06194690265)+(-5.9)</f>
        <v>12.684070796374998</v>
      </c>
      <c r="H295" s="34">
        <f>(C295*1.19469026548)+(0)</f>
        <v>20.907079645900001</v>
      </c>
      <c r="I295" s="34">
        <f>(C295*1.16814159292)+(-2)</f>
        <v>18.4424778761</v>
      </c>
      <c r="J295" s="34">
        <f>(C295*1.1238938053)+(-3.9)</f>
        <v>15.76814159275</v>
      </c>
      <c r="K295" s="34">
        <f>(C295*1.07964601769)+(-5.6)</f>
        <v>13.293805309575001</v>
      </c>
    </row>
    <row r="296" spans="1:11" s="21" customFormat="1" ht="19.95" customHeight="1" x14ac:dyDescent="0.25">
      <c r="A296" s="13" t="str">
        <f>"15785"</f>
        <v>15785</v>
      </c>
      <c r="B296" s="14" t="s">
        <v>646</v>
      </c>
      <c r="C296" s="13" t="str">
        <f>"23.6"</f>
        <v>23.6</v>
      </c>
      <c r="D296" s="32">
        <f>(C296*1.24778761061)+(0.4)</f>
        <v>29.847787610396004</v>
      </c>
      <c r="E296" s="33">
        <f>(C296*1.16814159292)+(-1)</f>
        <v>26.568141592912003</v>
      </c>
      <c r="F296" s="33">
        <f>(C296*1.1238938053)+(-4.4)</f>
        <v>22.123893805080002</v>
      </c>
      <c r="G296" s="33">
        <f>(C296*1.06194690265)+(-5.9)</f>
        <v>19.161946902540002</v>
      </c>
      <c r="H296" s="34">
        <f>(C296*1.19469026548)+(0)</f>
        <v>28.194690265328003</v>
      </c>
      <c r="I296" s="34">
        <f>(C296*1.16814159292)+(-2)</f>
        <v>25.568141592912003</v>
      </c>
      <c r="J296" s="34">
        <f>(C296*1.1238938053)+(-3.9)</f>
        <v>22.623893805080005</v>
      </c>
      <c r="K296" s="34">
        <f>(C296*1.07964601769)+(-5.6)</f>
        <v>19.879646017483999</v>
      </c>
    </row>
    <row r="297" spans="1:11" s="21" customFormat="1" ht="19.95" customHeight="1" x14ac:dyDescent="0.25">
      <c r="A297" s="13" t="str">
        <f>"15786"</f>
        <v>15786</v>
      </c>
      <c r="B297" s="14" t="s">
        <v>647</v>
      </c>
      <c r="C297" s="13" t="str">
        <f>"20.2"</f>
        <v>20.2</v>
      </c>
      <c r="D297" s="32">
        <f>(C297*1.24778761061)+(0.4)</f>
        <v>25.605309734321999</v>
      </c>
      <c r="E297" s="33">
        <f>(C297*1.16814159292)+(-1)</f>
        <v>22.596460176983999</v>
      </c>
      <c r="F297" s="33">
        <f>(C297*1.1238938053)+(-4.4)</f>
        <v>18.302654867059999</v>
      </c>
      <c r="G297" s="33">
        <f>(C297*1.06194690265)+(-5.9)</f>
        <v>15.551327433529996</v>
      </c>
      <c r="H297" s="34">
        <f>(C297*1.19469026548)+(0)</f>
        <v>24.132743362696001</v>
      </c>
      <c r="I297" s="34">
        <f>(C297*1.16814159292)+(-2)</f>
        <v>21.596460176983999</v>
      </c>
      <c r="J297" s="34">
        <f>(C297*1.1238938053)+(-3.9)</f>
        <v>18.802654867060003</v>
      </c>
      <c r="K297" s="34">
        <f>(C297*1.07964601769)+(-5.6)</f>
        <v>16.208849557337999</v>
      </c>
    </row>
    <row r="298" spans="1:11" s="21" customFormat="1" ht="19.95" customHeight="1" x14ac:dyDescent="0.25">
      <c r="A298" s="13" t="str">
        <f>"50236"</f>
        <v>50236</v>
      </c>
      <c r="B298" s="14" t="s">
        <v>648</v>
      </c>
      <c r="C298" s="13" t="str">
        <f>"10.7"</f>
        <v>10.7</v>
      </c>
      <c r="D298" s="32">
        <f>(C298*1.24778761061)+(0.4)</f>
        <v>13.751327433527001</v>
      </c>
      <c r="E298" s="33">
        <f>(C298*1.16814159292)+(-1)</f>
        <v>11.499115044244</v>
      </c>
      <c r="F298" s="33">
        <f>(C298*1.1238938053)+(-4.4)</f>
        <v>7.6256637167099992</v>
      </c>
      <c r="G298" s="33">
        <f>(C298*1.06194690265)+(-5.9)</f>
        <v>5.4628318583549973</v>
      </c>
      <c r="H298" s="34">
        <f>(C298*1.19469026548)+(0)</f>
        <v>12.783185840635999</v>
      </c>
      <c r="I298" s="34">
        <f>(C298*1.16814159292)+(-2)</f>
        <v>10.499115044244</v>
      </c>
      <c r="J298" s="34">
        <f>(C298*1.1238938053)+(-3.9)</f>
        <v>8.1256637167099992</v>
      </c>
      <c r="K298" s="34">
        <f>(C298*1.07964601769)+(-5.6)</f>
        <v>5.9522123892829999</v>
      </c>
    </row>
    <row r="299" spans="1:11" s="21" customFormat="1" ht="19.95" customHeight="1" x14ac:dyDescent="0.25">
      <c r="A299" s="13" t="str">
        <f>"15788"</f>
        <v>15788</v>
      </c>
      <c r="B299" s="14" t="s">
        <v>649</v>
      </c>
      <c r="C299" s="13" t="str">
        <f>"10.2"</f>
        <v>10.2</v>
      </c>
      <c r="D299" s="32">
        <f>(C299*1.24778761061)+(0.4)</f>
        <v>13.127433628222001</v>
      </c>
      <c r="E299" s="33">
        <f>(C299*1.16814159292)+(-1)</f>
        <v>10.915044247784</v>
      </c>
      <c r="F299" s="33">
        <f>(C299*1.1238938053)+(-4.4)</f>
        <v>7.0637168140599993</v>
      </c>
      <c r="G299" s="33">
        <f>(C299*1.06194690265)+(-5.9)</f>
        <v>4.9318584070299973</v>
      </c>
      <c r="H299" s="34">
        <f>(C299*1.19469026548)+(0)</f>
        <v>12.185840707895998</v>
      </c>
      <c r="I299" s="34">
        <f>(C299*1.16814159292)+(-2)</f>
        <v>9.9150442477839995</v>
      </c>
      <c r="J299" s="34">
        <f>(C299*1.1238938053)+(-3.9)</f>
        <v>7.5637168140599993</v>
      </c>
      <c r="K299" s="34">
        <f>(C299*1.07964601769)+(-5.6)</f>
        <v>5.4123893804380003</v>
      </c>
    </row>
    <row r="300" spans="1:11" s="21" customFormat="1" ht="19.95" customHeight="1" x14ac:dyDescent="0.25">
      <c r="A300" s="13" t="str">
        <f>"15790"</f>
        <v>15790</v>
      </c>
      <c r="B300" s="14" t="s">
        <v>650</v>
      </c>
      <c r="C300" s="13" t="str">
        <f>"12.5"</f>
        <v>12.5</v>
      </c>
      <c r="D300" s="32">
        <f>(C300*1.24778761061)+(0.4)</f>
        <v>15.997345132625002</v>
      </c>
      <c r="E300" s="33">
        <f>(C300*1.16814159292)+(-1)</f>
        <v>13.601769911500002</v>
      </c>
      <c r="F300" s="33">
        <f>(C300*1.1238938053)+(-4.4)</f>
        <v>9.648672566250001</v>
      </c>
      <c r="G300" s="33">
        <f>(C300*1.06194690265)+(-5.9)</f>
        <v>7.3743362831249986</v>
      </c>
      <c r="H300" s="34">
        <f>(C300*1.19469026548)+(0)</f>
        <v>14.9336283185</v>
      </c>
      <c r="I300" s="34">
        <f>(C300*1.16814159292)+(-2)</f>
        <v>12.601769911500002</v>
      </c>
      <c r="J300" s="34">
        <f>(C300*1.1238938053)+(-3.9)</f>
        <v>10.148672566250001</v>
      </c>
      <c r="K300" s="34">
        <f>(C300*1.07964601769)+(-5.6)</f>
        <v>7.8955752211250001</v>
      </c>
    </row>
    <row r="301" spans="1:11" s="21" customFormat="1" ht="19.95" customHeight="1" x14ac:dyDescent="0.25">
      <c r="A301" s="13" t="str">
        <f>"39406"</f>
        <v>39406</v>
      </c>
      <c r="B301" s="14" t="s">
        <v>651</v>
      </c>
      <c r="C301" s="13" t="str">
        <f>"34.7"</f>
        <v>34.7</v>
      </c>
      <c r="D301" s="32">
        <f>(C301*1.24778761061)+(0.4)</f>
        <v>43.698230088167008</v>
      </c>
      <c r="E301" s="33">
        <f>(C301*1.16814159292)+(-1)</f>
        <v>39.534513274324006</v>
      </c>
      <c r="F301" s="33">
        <f>(C301*1.1238938053)+(-4.4)</f>
        <v>34.599115043910004</v>
      </c>
      <c r="G301" s="33">
        <f>(C301*1.06194690265)+(-5.9)</f>
        <v>30.949557521955001</v>
      </c>
      <c r="H301" s="34">
        <f>(C301*1.19469026548)+(0)</f>
        <v>41.455752212156007</v>
      </c>
      <c r="I301" s="34">
        <f>(C301*1.16814159292)+(-2)</f>
        <v>38.534513274324006</v>
      </c>
      <c r="J301" s="34">
        <f>(C301*1.1238938053)+(-3.9)</f>
        <v>35.099115043910004</v>
      </c>
      <c r="K301" s="34">
        <f>(C301*1.07964601769)+(-5.6)</f>
        <v>31.863716813843006</v>
      </c>
    </row>
    <row r="302" spans="1:11" s="21" customFormat="1" ht="19.95" customHeight="1" x14ac:dyDescent="0.25">
      <c r="A302" s="13" t="str">
        <f>"4422"</f>
        <v>4422</v>
      </c>
      <c r="B302" s="14" t="s">
        <v>652</v>
      </c>
      <c r="C302" s="13" t="str">
        <f>"13.0"</f>
        <v>13.0</v>
      </c>
      <c r="D302" s="32">
        <f>(C302*1.24778761061)+(0.4)</f>
        <v>16.621238937929999</v>
      </c>
      <c r="E302" s="33">
        <f>(C302*1.16814159292)+(-1)</f>
        <v>14.185840707960001</v>
      </c>
      <c r="F302" s="33">
        <f>(C302*1.1238938053)+(-4.4)</f>
        <v>10.210619468900001</v>
      </c>
      <c r="G302" s="33">
        <f>(C302*1.06194690265)+(-5.9)</f>
        <v>7.9053097344499985</v>
      </c>
      <c r="H302" s="34">
        <f>(C302*1.19469026548)+(0)</f>
        <v>15.53097345124</v>
      </c>
      <c r="I302" s="34">
        <f>(C302*1.16814159292)+(-2)</f>
        <v>13.185840707960001</v>
      </c>
      <c r="J302" s="34">
        <f>(C302*1.1238938053)+(-3.9)</f>
        <v>10.710619468900001</v>
      </c>
      <c r="K302" s="34">
        <f>(C302*1.07964601769)+(-5.6)</f>
        <v>8.4353982299699997</v>
      </c>
    </row>
    <row r="303" spans="1:11" s="21" customFormat="1" ht="19.95" customHeight="1" x14ac:dyDescent="0.25">
      <c r="A303" s="13" t="str">
        <f>"15793"</f>
        <v>15793</v>
      </c>
      <c r="B303" s="14" t="s">
        <v>653</v>
      </c>
      <c r="C303" s="13" t="str">
        <f>"4.9"</f>
        <v>4.9</v>
      </c>
      <c r="D303" s="32">
        <f>(C303*1.24778761061)+(0.4)</f>
        <v>6.5141592919890012</v>
      </c>
      <c r="E303" s="33">
        <f>(C303*1.16814159292)+(-1)</f>
        <v>4.7238938053080011</v>
      </c>
      <c r="F303" s="33">
        <f>(C303*1.1238938053)+(-4.4)</f>
        <v>1.1070796459699999</v>
      </c>
      <c r="G303" s="33">
        <f>(C303*1.06194690265)+(-5.9)</f>
        <v>-0.69646017701500007</v>
      </c>
      <c r="H303" s="34">
        <f>(C303*1.19469026548)+(0)</f>
        <v>5.8539823008520004</v>
      </c>
      <c r="I303" s="34">
        <f>(C303*1.16814159292)+(-2)</f>
        <v>3.7238938053080011</v>
      </c>
      <c r="J303" s="34">
        <f>(C303*1.1238938053)+(-3.9)</f>
        <v>1.6070796459700003</v>
      </c>
      <c r="K303" s="34">
        <f>(C303*1.07964601769)+(-5.6)</f>
        <v>-0.30973451331899948</v>
      </c>
    </row>
    <row r="304" spans="1:11" s="21" customFormat="1" ht="19.95" customHeight="1" x14ac:dyDescent="0.25">
      <c r="A304" s="13" t="str">
        <f>"862"</f>
        <v>862</v>
      </c>
      <c r="B304" s="14" t="s">
        <v>654</v>
      </c>
      <c r="C304" s="13" t="str">
        <f>"26.3"</f>
        <v>26.3</v>
      </c>
      <c r="D304" s="32">
        <f>(C304*1.24778761061)+(0.4)</f>
        <v>33.216814159043004</v>
      </c>
      <c r="E304" s="33">
        <f>(C304*1.16814159292)+(-1)</f>
        <v>29.722123893796002</v>
      </c>
      <c r="F304" s="33">
        <f>(C304*1.1238938053)+(-4.4)</f>
        <v>25.158407079390003</v>
      </c>
      <c r="G304" s="33">
        <f>(C304*1.06194690265)+(-5.9)</f>
        <v>22.029203539694997</v>
      </c>
      <c r="H304" s="34">
        <f>(C304*1.19469026548)+(0)</f>
        <v>31.420353982124002</v>
      </c>
      <c r="I304" s="34">
        <f>(C304*1.16814159292)+(-2)</f>
        <v>28.722123893796002</v>
      </c>
      <c r="J304" s="34">
        <f>(C304*1.1238938053)+(-3.9)</f>
        <v>25.658407079390003</v>
      </c>
      <c r="K304" s="34">
        <f>(C304*1.07964601769)+(-5.6)</f>
        <v>22.794690265246999</v>
      </c>
    </row>
    <row r="305" spans="1:11" s="21" customFormat="1" ht="19.95" customHeight="1" x14ac:dyDescent="0.25">
      <c r="A305" s="13" t="str">
        <f>"15798"</f>
        <v>15798</v>
      </c>
      <c r="B305" s="14" t="s">
        <v>655</v>
      </c>
      <c r="C305" s="13" t="str">
        <f>"19.9"</f>
        <v>19.9</v>
      </c>
      <c r="D305" s="32">
        <f>(C305*1.24778761061)+(0.4)</f>
        <v>25.230973451139</v>
      </c>
      <c r="E305" s="33">
        <f>(C305*1.16814159292)+(-1)</f>
        <v>22.246017699107998</v>
      </c>
      <c r="F305" s="33">
        <f>(C305*1.1238938053)+(-4.4)</f>
        <v>17.965486725470001</v>
      </c>
      <c r="G305" s="33">
        <f>(C305*1.06194690265)+(-5.9)</f>
        <v>15.232743362734995</v>
      </c>
      <c r="H305" s="34">
        <f>(C305*1.19469026548)+(0)</f>
        <v>23.774336283051998</v>
      </c>
      <c r="I305" s="34">
        <f>(C305*1.16814159292)+(-2)</f>
        <v>21.246017699107998</v>
      </c>
      <c r="J305" s="34">
        <f>(C305*1.1238938053)+(-3.9)</f>
        <v>18.465486725470001</v>
      </c>
      <c r="K305" s="34">
        <f>(C305*1.07964601769)+(-5.6)</f>
        <v>15.884955752030999</v>
      </c>
    </row>
    <row r="306" spans="1:11" s="21" customFormat="1" ht="19.95" customHeight="1" x14ac:dyDescent="0.25">
      <c r="A306" s="13" t="str">
        <f>"15799"</f>
        <v>15799</v>
      </c>
      <c r="B306" s="14" t="s">
        <v>656</v>
      </c>
      <c r="C306" s="13" t="str">
        <f>"10.7"</f>
        <v>10.7</v>
      </c>
      <c r="D306" s="32">
        <f>(C306*1.24778761061)+(0.4)</f>
        <v>13.751327433527001</v>
      </c>
      <c r="E306" s="33">
        <f>(C306*1.16814159292)+(-1)</f>
        <v>11.499115044244</v>
      </c>
      <c r="F306" s="33">
        <f>(C306*1.1238938053)+(-4.4)</f>
        <v>7.6256637167099992</v>
      </c>
      <c r="G306" s="33">
        <f>(C306*1.06194690265)+(-5.9)</f>
        <v>5.4628318583549973</v>
      </c>
      <c r="H306" s="34">
        <f>(C306*1.19469026548)+(0)</f>
        <v>12.783185840635999</v>
      </c>
      <c r="I306" s="34">
        <f>(C306*1.16814159292)+(-2)</f>
        <v>10.499115044244</v>
      </c>
      <c r="J306" s="34">
        <f>(C306*1.1238938053)+(-3.9)</f>
        <v>8.1256637167099992</v>
      </c>
      <c r="K306" s="34">
        <f>(C306*1.07964601769)+(-5.6)</f>
        <v>5.9522123892829999</v>
      </c>
    </row>
    <row r="307" spans="1:11" s="21" customFormat="1" ht="19.95" customHeight="1" x14ac:dyDescent="0.25">
      <c r="A307" s="13" t="str">
        <f>"5418"</f>
        <v>5418</v>
      </c>
      <c r="B307" s="14" t="s">
        <v>657</v>
      </c>
      <c r="C307" s="13" t="str">
        <f>"9.3"</f>
        <v>9.3</v>
      </c>
      <c r="D307" s="32">
        <f>(C307*1.24778761061)+(0.4)</f>
        <v>12.004424778673002</v>
      </c>
      <c r="E307" s="33">
        <f>(C307*1.16814159292)+(-1)</f>
        <v>9.8637168141560014</v>
      </c>
      <c r="F307" s="33">
        <f>(C307*1.1238938053)+(-4.4)</f>
        <v>6.0522123892900002</v>
      </c>
      <c r="G307" s="33">
        <f>(C307*1.06194690265)+(-5.9)</f>
        <v>3.9761061946450003</v>
      </c>
      <c r="H307" s="34">
        <f>(C307*1.19469026548)+(0)</f>
        <v>11.110619468964002</v>
      </c>
      <c r="I307" s="34">
        <f>(C307*1.16814159292)+(-2)</f>
        <v>8.8637168141560014</v>
      </c>
      <c r="J307" s="34">
        <f>(C307*1.1238938053)+(-3.9)</f>
        <v>6.5522123892900002</v>
      </c>
      <c r="K307" s="34">
        <f>(C307*1.07964601769)+(-5.6)</f>
        <v>4.4407079645170011</v>
      </c>
    </row>
    <row r="308" spans="1:11" s="21" customFormat="1" ht="19.95" customHeight="1" x14ac:dyDescent="0.25">
      <c r="A308" s="13" t="str">
        <f>"66362"</f>
        <v>66362</v>
      </c>
      <c r="B308" s="14" t="s">
        <v>658</v>
      </c>
      <c r="C308" s="13" t="str">
        <f>"12.5"</f>
        <v>12.5</v>
      </c>
      <c r="D308" s="32">
        <f>(C308*1.24778761061)+(0.4)</f>
        <v>15.997345132625002</v>
      </c>
      <c r="E308" s="33">
        <f>(C308*1.16814159292)+(-1)</f>
        <v>13.601769911500002</v>
      </c>
      <c r="F308" s="33">
        <f>(C308*1.1238938053)+(-4.4)</f>
        <v>9.648672566250001</v>
      </c>
      <c r="G308" s="33">
        <f>(C308*1.06194690265)+(-5.9)</f>
        <v>7.3743362831249986</v>
      </c>
      <c r="H308" s="34">
        <f>(C308*1.19469026548)+(0)</f>
        <v>14.9336283185</v>
      </c>
      <c r="I308" s="34">
        <f>(C308*1.16814159292)+(-2)</f>
        <v>12.601769911500002</v>
      </c>
      <c r="J308" s="34">
        <f>(C308*1.1238938053)+(-3.9)</f>
        <v>10.148672566250001</v>
      </c>
      <c r="K308" s="34">
        <f>(C308*1.07964601769)+(-5.6)</f>
        <v>7.8955752211250001</v>
      </c>
    </row>
    <row r="309" spans="1:11" s="21" customFormat="1" ht="19.95" customHeight="1" x14ac:dyDescent="0.25">
      <c r="A309" s="13" t="str">
        <f>"66832"</f>
        <v>66832</v>
      </c>
      <c r="B309" s="14" t="s">
        <v>659</v>
      </c>
      <c r="C309" s="13" t="str">
        <f>"21.1"</f>
        <v>21.1</v>
      </c>
      <c r="D309" s="32">
        <f>(C309*1.24778761061)+(0.4)</f>
        <v>26.728318583871001</v>
      </c>
      <c r="E309" s="33">
        <f>(C309*1.16814159292)+(-1)</f>
        <v>23.647787610612003</v>
      </c>
      <c r="F309" s="33">
        <f>(C309*1.1238938053)+(-4.4)</f>
        <v>19.314159291830002</v>
      </c>
      <c r="G309" s="33">
        <f>(C309*1.06194690265)+(-5.9)</f>
        <v>16.507079645914999</v>
      </c>
      <c r="H309" s="34">
        <f>(C309*1.19469026548)+(0)</f>
        <v>25.207964601628003</v>
      </c>
      <c r="I309" s="34">
        <f>(C309*1.16814159292)+(-2)</f>
        <v>22.647787610612003</v>
      </c>
      <c r="J309" s="34">
        <f>(C309*1.1238938053)+(-3.9)</f>
        <v>19.814159291830006</v>
      </c>
      <c r="K309" s="34">
        <f>(C309*1.07964601769)+(-5.6)</f>
        <v>17.180530973259003</v>
      </c>
    </row>
    <row r="310" spans="1:11" s="21" customFormat="1" ht="19.95" customHeight="1" x14ac:dyDescent="0.25">
      <c r="A310" s="13" t="str">
        <f>"42153"</f>
        <v>42153</v>
      </c>
      <c r="B310" s="14" t="s">
        <v>660</v>
      </c>
      <c r="C310" s="13" t="str">
        <f>"19.1"</f>
        <v>19.1</v>
      </c>
      <c r="D310" s="32">
        <f>(C310*1.24778761061)+(0.4)</f>
        <v>24.232743362651004</v>
      </c>
      <c r="E310" s="33">
        <f>(C310*1.16814159292)+(-1)</f>
        <v>21.311504424772004</v>
      </c>
      <c r="F310" s="33">
        <f>(C310*1.1238938053)+(-4.4)</f>
        <v>17.066371681230002</v>
      </c>
      <c r="G310" s="33">
        <f>(C310*1.06194690265)+(-5.9)</f>
        <v>14.383185840615001</v>
      </c>
      <c r="H310" s="34">
        <f>(C310*1.19469026548)+(0)</f>
        <v>22.818584070668003</v>
      </c>
      <c r="I310" s="34">
        <f>(C310*1.16814159292)+(-2)</f>
        <v>20.311504424772004</v>
      </c>
      <c r="J310" s="34">
        <f>(C310*1.1238938053)+(-3.9)</f>
        <v>17.566371681230002</v>
      </c>
      <c r="K310" s="34">
        <f>(C310*1.07964601769)+(-5.6)</f>
        <v>15.021238937879003</v>
      </c>
    </row>
    <row r="311" spans="1:11" s="21" customFormat="1" ht="19.95" customHeight="1" x14ac:dyDescent="0.25">
      <c r="A311" s="13" t="str">
        <f>"22720"</f>
        <v>22720</v>
      </c>
      <c r="B311" s="14" t="s">
        <v>661</v>
      </c>
      <c r="C311" s="13" t="str">
        <f>"18.9"</f>
        <v>18.9</v>
      </c>
      <c r="D311" s="32">
        <f>(C311*1.24778761061)+(0.4)</f>
        <v>23.983185840529</v>
      </c>
      <c r="E311" s="33">
        <f>(C311*1.16814159292)+(-1)</f>
        <v>21.077876106188</v>
      </c>
      <c r="F311" s="33">
        <f>(C311*1.1238938053)+(-4.4)</f>
        <v>16.841592920170001</v>
      </c>
      <c r="G311" s="33">
        <f>(C311*1.06194690265)+(-5.9)</f>
        <v>14.170796460084995</v>
      </c>
      <c r="H311" s="34">
        <f>(C311*1.19469026548)+(0)</f>
        <v>22.579646017571999</v>
      </c>
      <c r="I311" s="34">
        <f>(C311*1.16814159292)+(-2)</f>
        <v>20.077876106188</v>
      </c>
      <c r="J311" s="34">
        <f>(C311*1.1238938053)+(-3.9)</f>
        <v>17.341592920170001</v>
      </c>
      <c r="K311" s="34">
        <f>(C311*1.07964601769)+(-5.6)</f>
        <v>14.805309734341</v>
      </c>
    </row>
    <row r="312" spans="1:11" s="21" customFormat="1" ht="19.95" customHeight="1" x14ac:dyDescent="0.25">
      <c r="A312" s="13" t="str">
        <f>"15802"</f>
        <v>15802</v>
      </c>
      <c r="B312" s="14" t="s">
        <v>662</v>
      </c>
      <c r="C312" s="13" t="str">
        <f>"28.2"</f>
        <v>28.2</v>
      </c>
      <c r="D312" s="32">
        <f>(C312*1.24778761061)+(0.4)</f>
        <v>35.587610619202003</v>
      </c>
      <c r="E312" s="33">
        <f>(C312*1.16814159292)+(-1)</f>
        <v>31.941592920344</v>
      </c>
      <c r="F312" s="33">
        <f>(C312*1.1238938053)+(-4.4)</f>
        <v>27.293805309459998</v>
      </c>
      <c r="G312" s="33">
        <f>(C312*1.06194690265)+(-5.9)</f>
        <v>24.046902654729998</v>
      </c>
      <c r="H312" s="34">
        <f>(C312*1.19469026548)+(0)</f>
        <v>33.690265486535999</v>
      </c>
      <c r="I312" s="34">
        <f>(C312*1.16814159292)+(-2)</f>
        <v>30.941592920344</v>
      </c>
      <c r="J312" s="34">
        <f>(C312*1.1238938053)+(-3.9)</f>
        <v>27.793805309460001</v>
      </c>
      <c r="K312" s="34">
        <f>(C312*1.07964601769)+(-5.6)</f>
        <v>24.846017698857999</v>
      </c>
    </row>
    <row r="313" spans="1:11" s="21" customFormat="1" ht="19.95" customHeight="1" x14ac:dyDescent="0.25">
      <c r="A313" s="13" t="str">
        <f>"1008544"</f>
        <v>1008544</v>
      </c>
      <c r="B313" s="14" t="s">
        <v>663</v>
      </c>
      <c r="C313" s="13" t="str">
        <f>"15.7"</f>
        <v>15.7</v>
      </c>
      <c r="D313" s="32">
        <f>(C313*1.24778761061)+(0.4)</f>
        <v>19.990265486576998</v>
      </c>
      <c r="E313" s="33">
        <f>(C313*1.16814159292)+(-1)</f>
        <v>17.339823008844</v>
      </c>
      <c r="F313" s="33">
        <f>(C313*1.1238938053)+(-4.4)</f>
        <v>13.245132743209998</v>
      </c>
      <c r="G313" s="33">
        <f>(C313*1.06194690265)+(-5.9)</f>
        <v>10.772566371604997</v>
      </c>
      <c r="H313" s="34">
        <f>(C313*1.19469026548)+(0)</f>
        <v>18.756637168036001</v>
      </c>
      <c r="I313" s="34">
        <f>(C313*1.16814159292)+(-2)</f>
        <v>16.339823008844</v>
      </c>
      <c r="J313" s="34">
        <f>(C313*1.1238938053)+(-3.9)</f>
        <v>13.745132743209998</v>
      </c>
      <c r="K313" s="34">
        <f>(C313*1.07964601769)+(-5.6)</f>
        <v>11.350442477732999</v>
      </c>
    </row>
    <row r="314" spans="1:11" s="21" customFormat="1" ht="19.95" customHeight="1" x14ac:dyDescent="0.25">
      <c r="A314" s="13" t="str">
        <f>"15809"</f>
        <v>15809</v>
      </c>
      <c r="B314" s="14" t="s">
        <v>664</v>
      </c>
      <c r="C314" s="13" t="str">
        <f>"12.8"</f>
        <v>12.8</v>
      </c>
      <c r="D314" s="32">
        <f>(C314*1.24778761061)+(0.4)</f>
        <v>16.371681415808002</v>
      </c>
      <c r="E314" s="33">
        <f>(C314*1.16814159292)+(-1)</f>
        <v>13.952212389376001</v>
      </c>
      <c r="F314" s="33">
        <f>(C314*1.1238938053)+(-4.4)</f>
        <v>9.9858407078400013</v>
      </c>
      <c r="G314" s="33">
        <f>(C314*1.06194690265)+(-5.9)</f>
        <v>7.69292035392</v>
      </c>
      <c r="H314" s="34">
        <f>(C314*1.19469026548)+(0)</f>
        <v>15.292035398144002</v>
      </c>
      <c r="I314" s="34">
        <f>(C314*1.16814159292)+(-2)</f>
        <v>12.952212389376001</v>
      </c>
      <c r="J314" s="34">
        <f>(C314*1.1238938053)+(-3.9)</f>
        <v>10.485840707840001</v>
      </c>
      <c r="K314" s="34">
        <f>(C314*1.07964601769)+(-5.6)</f>
        <v>8.2194690264320016</v>
      </c>
    </row>
    <row r="315" spans="1:11" s="21" customFormat="1" ht="19.95" customHeight="1" x14ac:dyDescent="0.25">
      <c r="A315" s="13" t="str">
        <f>"26992"</f>
        <v>26992</v>
      </c>
      <c r="B315" s="14" t="s">
        <v>665</v>
      </c>
      <c r="C315" s="13" t="str">
        <f>"24.0"</f>
        <v>24.0</v>
      </c>
      <c r="D315" s="32">
        <f>(C315*1.24778761061)+(0.4)</f>
        <v>30.346902654640001</v>
      </c>
      <c r="E315" s="33">
        <f>(C315*1.16814159292)+(-1)</f>
        <v>27.035398230080002</v>
      </c>
      <c r="F315" s="33">
        <f>(C315*1.1238938053)+(-4.4)</f>
        <v>22.573451327200004</v>
      </c>
      <c r="G315" s="33">
        <f>(C315*1.06194690265)+(-5.9)</f>
        <v>19.586725663599999</v>
      </c>
      <c r="H315" s="34">
        <f>(C315*1.19469026548)+(0)</f>
        <v>28.672566371519999</v>
      </c>
      <c r="I315" s="34">
        <f>(C315*1.16814159292)+(-2)</f>
        <v>26.035398230080002</v>
      </c>
      <c r="J315" s="34">
        <f>(C315*1.1238938053)+(-3.9)</f>
        <v>23.073451327200004</v>
      </c>
      <c r="K315" s="34">
        <f>(C315*1.07964601769)+(-5.6)</f>
        <v>20.311504424559999</v>
      </c>
    </row>
    <row r="316" spans="1:11" s="21" customFormat="1" ht="19.95" customHeight="1" x14ac:dyDescent="0.25">
      <c r="A316" s="13" t="str">
        <f>"1001598"</f>
        <v>1001598</v>
      </c>
      <c r="B316" s="14" t="s">
        <v>666</v>
      </c>
      <c r="C316" s="13" t="str">
        <f>"21.6"</f>
        <v>21.6</v>
      </c>
      <c r="D316" s="32">
        <f>(C316*1.24778761061)+(0.4)</f>
        <v>27.352212389176003</v>
      </c>
      <c r="E316" s="33">
        <f>(C316*1.16814159292)+(-1)</f>
        <v>24.231858407072004</v>
      </c>
      <c r="F316" s="33">
        <f>(C316*1.1238938053)+(-4.4)</f>
        <v>19.876106194480002</v>
      </c>
      <c r="G316" s="33">
        <f>(C316*1.06194690265)+(-5.9)</f>
        <v>17.038053097240002</v>
      </c>
      <c r="H316" s="34">
        <f>(C316*1.19469026548)+(0)</f>
        <v>25.805309734368002</v>
      </c>
      <c r="I316" s="34">
        <f>(C316*1.16814159292)+(-2)</f>
        <v>23.231858407072004</v>
      </c>
      <c r="J316" s="34">
        <f>(C316*1.1238938053)+(-3.9)</f>
        <v>20.376106194480005</v>
      </c>
      <c r="K316" s="34">
        <f>(C316*1.07964601769)+(-5.6)</f>
        <v>17.720353982104001</v>
      </c>
    </row>
    <row r="317" spans="1:11" s="21" customFormat="1" ht="19.95" customHeight="1" x14ac:dyDescent="0.25">
      <c r="A317" s="13" t="str">
        <f>"48441"</f>
        <v>48441</v>
      </c>
      <c r="B317" s="14" t="s">
        <v>667</v>
      </c>
      <c r="C317" s="13" t="str">
        <f>"12.3"</f>
        <v>12.3</v>
      </c>
      <c r="D317" s="32">
        <f>(C317*1.24778761061)+(0.4)</f>
        <v>15.747787610503002</v>
      </c>
      <c r="E317" s="33">
        <f>(C317*1.16814159292)+(-1)</f>
        <v>13.368141592916002</v>
      </c>
      <c r="F317" s="33">
        <f>(C317*1.1238938053)+(-4.4)</f>
        <v>9.4238938051900014</v>
      </c>
      <c r="G317" s="33">
        <f>(C317*1.06194690265)+(-5.9)</f>
        <v>7.161946902595</v>
      </c>
      <c r="H317" s="34">
        <f>(C317*1.19469026548)+(0)</f>
        <v>14.694690265404001</v>
      </c>
      <c r="I317" s="34">
        <f>(C317*1.16814159292)+(-2)</f>
        <v>12.368141592916002</v>
      </c>
      <c r="J317" s="34">
        <f>(C317*1.1238938053)+(-3.9)</f>
        <v>9.9238938051900014</v>
      </c>
      <c r="K317" s="34">
        <f>(C317*1.07964601769)+(-5.6)</f>
        <v>7.679646017587002</v>
      </c>
    </row>
    <row r="318" spans="1:11" s="21" customFormat="1" ht="19.95" customHeight="1" x14ac:dyDescent="0.25">
      <c r="A318" s="13" t="str">
        <f>"24506"</f>
        <v>24506</v>
      </c>
      <c r="B318" s="14" t="s">
        <v>668</v>
      </c>
      <c r="C318" s="13" t="str">
        <f>"11.0"</f>
        <v>11.0</v>
      </c>
      <c r="D318" s="32">
        <f>(C318*1.24778761061)+(0.4)</f>
        <v>14.125663716710001</v>
      </c>
      <c r="E318" s="33">
        <f>(C318*1.16814159292)+(-1)</f>
        <v>11.849557522120001</v>
      </c>
      <c r="F318" s="33">
        <f>(C318*1.1238938053)+(-4.4)</f>
        <v>7.9628318582999995</v>
      </c>
      <c r="G318" s="33">
        <f>(C318*1.06194690265)+(-5.9)</f>
        <v>5.7814159291499987</v>
      </c>
      <c r="H318" s="34">
        <f>(C318*1.19469026548)+(0)</f>
        <v>13.141592920280001</v>
      </c>
      <c r="I318" s="34">
        <f>(C318*1.16814159292)+(-2)</f>
        <v>10.849557522120001</v>
      </c>
      <c r="J318" s="34">
        <f>(C318*1.1238938053)+(-3.9)</f>
        <v>8.4628318582999995</v>
      </c>
      <c r="K318" s="34">
        <f>(C318*1.07964601769)+(-5.6)</f>
        <v>6.2761061945900014</v>
      </c>
    </row>
    <row r="319" spans="1:11" s="21" customFormat="1" ht="19.95" customHeight="1" x14ac:dyDescent="0.25">
      <c r="A319" s="13" t="str">
        <f>"44496"</f>
        <v>44496</v>
      </c>
      <c r="B319" s="14" t="s">
        <v>669</v>
      </c>
      <c r="C319" s="13" t="str">
        <f>"10.9"</f>
        <v>10.9</v>
      </c>
      <c r="D319" s="32">
        <f>(C319*1.24778761061)+(0.4)</f>
        <v>14.000884955649003</v>
      </c>
      <c r="E319" s="33">
        <f>(C319*1.16814159292)+(-1)</f>
        <v>11.732743362828002</v>
      </c>
      <c r="F319" s="33">
        <f>(C319*1.1238938053)+(-4.4)</f>
        <v>7.8504424777700006</v>
      </c>
      <c r="G319" s="33">
        <f>(C319*1.06194690265)+(-5.9)</f>
        <v>5.6752212388849994</v>
      </c>
      <c r="H319" s="34">
        <f>(C319*1.19469026548)+(0)</f>
        <v>13.022123893732001</v>
      </c>
      <c r="I319" s="34">
        <f>(C319*1.16814159292)+(-2)</f>
        <v>10.732743362828002</v>
      </c>
      <c r="J319" s="34">
        <f>(C319*1.1238938053)+(-3.9)</f>
        <v>8.3504424777700006</v>
      </c>
      <c r="K319" s="34">
        <f>(C319*1.07964601769)+(-5.6)</f>
        <v>6.1681415928210015</v>
      </c>
    </row>
    <row r="320" spans="1:11" s="21" customFormat="1" ht="19.95" customHeight="1" x14ac:dyDescent="0.25">
      <c r="A320" s="13" t="str">
        <f>"50740"</f>
        <v>50740</v>
      </c>
      <c r="B320" s="14" t="s">
        <v>670</v>
      </c>
      <c r="C320" s="13" t="str">
        <f>"17.4"</f>
        <v>17.4</v>
      </c>
      <c r="D320" s="32">
        <f>(C320*1.24778761061)+(0.4)</f>
        <v>22.111504424613997</v>
      </c>
      <c r="E320" s="33">
        <f>(C320*1.16814159292)+(-1)</f>
        <v>19.325663716807998</v>
      </c>
      <c r="F320" s="33">
        <f>(C320*1.1238938053)+(-4.4)</f>
        <v>15.155752212219999</v>
      </c>
      <c r="G320" s="33">
        <f>(C320*1.06194690265)+(-5.9)</f>
        <v>12.577876106109995</v>
      </c>
      <c r="H320" s="34">
        <f>(C320*1.19469026548)+(0)</f>
        <v>20.787610619351998</v>
      </c>
      <c r="I320" s="34">
        <f>(C320*1.16814159292)+(-2)</f>
        <v>18.325663716807998</v>
      </c>
      <c r="J320" s="34">
        <f>(C320*1.1238938053)+(-3.9)</f>
        <v>15.655752212219999</v>
      </c>
      <c r="K320" s="34">
        <f>(C320*1.07964601769)+(-5.6)</f>
        <v>13.185840707805999</v>
      </c>
    </row>
    <row r="321" spans="1:11" s="21" customFormat="1" ht="19.95" customHeight="1" x14ac:dyDescent="0.25">
      <c r="A321" s="13" t="str">
        <f>"12561"</f>
        <v>12561</v>
      </c>
      <c r="B321" s="14" t="s">
        <v>671</v>
      </c>
      <c r="C321" s="13" t="str">
        <f>"17.1"</f>
        <v>17.1</v>
      </c>
      <c r="D321" s="32">
        <f>(C321*1.24778761061)+(0.4)</f>
        <v>21.737168141431003</v>
      </c>
      <c r="E321" s="33">
        <f>(C321*1.16814159292)+(-1)</f>
        <v>18.975221238932004</v>
      </c>
      <c r="F321" s="33">
        <f>(C321*1.1238938053)+(-4.4)</f>
        <v>14.818584070630001</v>
      </c>
      <c r="G321" s="33">
        <f>(C321*1.06194690265)+(-5.9)</f>
        <v>12.259292035315001</v>
      </c>
      <c r="H321" s="34">
        <f>(C321*1.19469026548)+(0)</f>
        <v>20.429203539708002</v>
      </c>
      <c r="I321" s="34">
        <f>(C321*1.16814159292)+(-2)</f>
        <v>17.975221238932004</v>
      </c>
      <c r="J321" s="34">
        <f>(C321*1.1238938053)+(-3.9)</f>
        <v>15.318584070630001</v>
      </c>
      <c r="K321" s="34">
        <f>(C321*1.07964601769)+(-5.6)</f>
        <v>12.861946902499001</v>
      </c>
    </row>
    <row r="322" spans="1:11" s="21" customFormat="1" ht="19.95" customHeight="1" x14ac:dyDescent="0.25">
      <c r="A322" s="13" t="str">
        <f>"42399"</f>
        <v>42399</v>
      </c>
      <c r="B322" s="14" t="s">
        <v>672</v>
      </c>
      <c r="C322" s="13" t="str">
        <f>"8.6"</f>
        <v>8.6</v>
      </c>
      <c r="D322" s="32">
        <f>(C322*1.24778761061)+(0.4)</f>
        <v>11.130973451246001</v>
      </c>
      <c r="E322" s="33">
        <f>(C322*1.16814159292)+(-1)</f>
        <v>9.0460176991120012</v>
      </c>
      <c r="F322" s="33">
        <f>(C322*1.1238938053)+(-4.4)</f>
        <v>5.2654867255799989</v>
      </c>
      <c r="G322" s="33">
        <f>(C322*1.06194690265)+(-5.9)</f>
        <v>3.2327433627899982</v>
      </c>
      <c r="H322" s="34">
        <f>(C322*1.19469026548)+(0)</f>
        <v>10.274336283127999</v>
      </c>
      <c r="I322" s="34">
        <f>(C322*1.16814159292)+(-2)</f>
        <v>8.0460176991120012</v>
      </c>
      <c r="J322" s="34">
        <f>(C322*1.1238938053)+(-3.9)</f>
        <v>5.7654867255799989</v>
      </c>
      <c r="K322" s="34">
        <f>(C322*1.07964601769)+(-5.6)</f>
        <v>3.684955752134</v>
      </c>
    </row>
    <row r="323" spans="1:11" s="21" customFormat="1" ht="19.95" customHeight="1" x14ac:dyDescent="0.25">
      <c r="A323" s="13" t="str">
        <f>"3698"</f>
        <v>3698</v>
      </c>
      <c r="B323" s="14" t="s">
        <v>673</v>
      </c>
      <c r="C323" s="13" t="str">
        <f>"16.3"</f>
        <v>16.3</v>
      </c>
      <c r="D323" s="32">
        <f>(C323*1.24778761061)+(0.4)</f>
        <v>20.738938052943002</v>
      </c>
      <c r="E323" s="33">
        <f>(C323*1.16814159292)+(-1)</f>
        <v>18.040707964596002</v>
      </c>
      <c r="F323" s="33">
        <f>(C323*1.1238938053)+(-4.4)</f>
        <v>13.919469026390002</v>
      </c>
      <c r="G323" s="33">
        <f>(C323*1.06194690265)+(-5.9)</f>
        <v>11.409734513195</v>
      </c>
      <c r="H323" s="34">
        <f>(C323*1.19469026548)+(0)</f>
        <v>19.473451327324</v>
      </c>
      <c r="I323" s="34">
        <f>(C323*1.16814159292)+(-2)</f>
        <v>17.040707964596002</v>
      </c>
      <c r="J323" s="34">
        <f>(C323*1.1238938053)+(-3.9)</f>
        <v>14.419469026390002</v>
      </c>
      <c r="K323" s="34">
        <f>(C323*1.07964601769)+(-5.6)</f>
        <v>11.998230088347002</v>
      </c>
    </row>
    <row r="324" spans="1:11" s="21" customFormat="1" ht="19.95" customHeight="1" x14ac:dyDescent="0.25">
      <c r="A324" s="13" t="str">
        <f>"15820"</f>
        <v>15820</v>
      </c>
      <c r="B324" s="14" t="s">
        <v>674</v>
      </c>
      <c r="C324" s="13" t="str">
        <f>"21.8"</f>
        <v>21.8</v>
      </c>
      <c r="D324" s="32">
        <f>(C324*1.24778761061)+(0.4)</f>
        <v>27.601769911298003</v>
      </c>
      <c r="E324" s="33">
        <f>(C324*1.16814159292)+(-1)</f>
        <v>24.465486725656003</v>
      </c>
      <c r="F324" s="33">
        <f>(C324*1.1238938053)+(-4.4)</f>
        <v>20.100884955540003</v>
      </c>
      <c r="G324" s="33">
        <f>(C324*1.06194690265)+(-5.9)</f>
        <v>17.250442477770001</v>
      </c>
      <c r="H324" s="34">
        <f>(C324*1.19469026548)+(0)</f>
        <v>26.044247787464002</v>
      </c>
      <c r="I324" s="34">
        <f>(C324*1.16814159292)+(-2)</f>
        <v>23.465486725656003</v>
      </c>
      <c r="J324" s="34">
        <f>(C324*1.1238938053)+(-3.9)</f>
        <v>20.600884955540003</v>
      </c>
      <c r="K324" s="34">
        <f>(C324*1.07964601769)+(-5.6)</f>
        <v>17.936283185642004</v>
      </c>
    </row>
    <row r="325" spans="1:11" s="21" customFormat="1" ht="19.95" customHeight="1" x14ac:dyDescent="0.25">
      <c r="A325" s="13" t="str">
        <f>"41791"</f>
        <v>41791</v>
      </c>
      <c r="B325" s="14" t="s">
        <v>675</v>
      </c>
      <c r="C325" s="13" t="str">
        <f>"33.8"</f>
        <v>33.8</v>
      </c>
      <c r="D325" s="32">
        <f>(C325*1.24778761061)+(0.4)</f>
        <v>42.575221238617999</v>
      </c>
      <c r="E325" s="33">
        <f>(C325*1.16814159292)+(-1)</f>
        <v>38.483185840696002</v>
      </c>
      <c r="F325" s="33">
        <f>(C325*1.1238938053)+(-4.4)</f>
        <v>33.587610619140001</v>
      </c>
      <c r="G325" s="33">
        <f>(C325*1.06194690265)+(-5.9)</f>
        <v>29.993805309569993</v>
      </c>
      <c r="H325" s="34">
        <f>(C325*1.19469026548)+(0)</f>
        <v>40.380530973223998</v>
      </c>
      <c r="I325" s="34">
        <f>(C325*1.16814159292)+(-2)</f>
        <v>37.483185840696002</v>
      </c>
      <c r="J325" s="34">
        <f>(C325*1.1238938053)+(-3.9)</f>
        <v>34.087610619140001</v>
      </c>
      <c r="K325" s="34">
        <f>(C325*1.07964601769)+(-5.6)</f>
        <v>30.892035397921994</v>
      </c>
    </row>
    <row r="326" spans="1:11" s="21" customFormat="1" ht="19.95" customHeight="1" x14ac:dyDescent="0.25">
      <c r="A326" s="13" t="str">
        <f>"15826"</f>
        <v>15826</v>
      </c>
      <c r="B326" s="14" t="s">
        <v>676</v>
      </c>
      <c r="C326" s="13" t="str">
        <f>"24.5"</f>
        <v>24.5</v>
      </c>
      <c r="D326" s="32">
        <f>(C326*1.24778761061)+(0.4)</f>
        <v>30.970796459944999</v>
      </c>
      <c r="E326" s="33">
        <f>(C326*1.16814159292)+(-1)</f>
        <v>27.619469026540003</v>
      </c>
      <c r="F326" s="33">
        <f>(C326*1.1238938053)+(-4.4)</f>
        <v>23.135398229850004</v>
      </c>
      <c r="G326" s="33">
        <f>(C326*1.06194690265)+(-5.9)</f>
        <v>20.117699114924996</v>
      </c>
      <c r="H326" s="34">
        <f>(C326*1.19469026548)+(0)</f>
        <v>29.269911504260001</v>
      </c>
      <c r="I326" s="34">
        <f>(C326*1.16814159292)+(-2)</f>
        <v>26.619469026540003</v>
      </c>
      <c r="J326" s="34">
        <f>(C326*1.1238938053)+(-3.9)</f>
        <v>23.635398229850004</v>
      </c>
      <c r="K326" s="34">
        <f>(C326*1.07964601769)+(-5.6)</f>
        <v>20.851327433405004</v>
      </c>
    </row>
    <row r="327" spans="1:11" s="21" customFormat="1" ht="19.95" customHeight="1" x14ac:dyDescent="0.25">
      <c r="A327" s="13" t="str">
        <f>"41405"</f>
        <v>41405</v>
      </c>
      <c r="B327" s="14" t="s">
        <v>677</v>
      </c>
      <c r="C327" s="13" t="str">
        <f>"13.3"</f>
        <v>13.3</v>
      </c>
      <c r="D327" s="32">
        <f>(C327*1.24778761061)+(0.4)</f>
        <v>16.995575221113</v>
      </c>
      <c r="E327" s="33">
        <f>(C327*1.16814159292)+(-1)</f>
        <v>14.536283185836002</v>
      </c>
      <c r="F327" s="33">
        <f>(C327*1.1238938053)+(-4.4)</f>
        <v>10.547787610490001</v>
      </c>
      <c r="G327" s="33">
        <f>(C327*1.06194690265)+(-5.9)</f>
        <v>8.2238938052449999</v>
      </c>
      <c r="H327" s="34">
        <f>(C327*1.19469026548)+(0)</f>
        <v>15.889380530884001</v>
      </c>
      <c r="I327" s="34">
        <f>(C327*1.16814159292)+(-2)</f>
        <v>13.536283185836002</v>
      </c>
      <c r="J327" s="34">
        <f>(C327*1.1238938053)+(-3.9)</f>
        <v>11.047787610490001</v>
      </c>
      <c r="K327" s="34">
        <f>(C327*1.07964601769)+(-5.6)</f>
        <v>8.7592920352770012</v>
      </c>
    </row>
    <row r="328" spans="1:11" s="21" customFormat="1" ht="19.95" customHeight="1" x14ac:dyDescent="0.25">
      <c r="A328" s="13" t="str">
        <f>"73754"</f>
        <v>73754</v>
      </c>
      <c r="B328" s="14" t="s">
        <v>678</v>
      </c>
      <c r="C328" s="13" t="str">
        <f>"26.5"</f>
        <v>26.5</v>
      </c>
      <c r="D328" s="32">
        <f>(C328*1.24778761061)+(0.4)</f>
        <v>33.466371681165</v>
      </c>
      <c r="E328" s="33">
        <f>(C328*1.16814159292)+(-1)</f>
        <v>29.955752212380002</v>
      </c>
      <c r="F328" s="33">
        <f>(C328*1.1238938053)+(-4.4)</f>
        <v>25.383185840450004</v>
      </c>
      <c r="G328" s="33">
        <f>(C328*1.06194690265)+(-5.9)</f>
        <v>22.241592920224996</v>
      </c>
      <c r="H328" s="34">
        <f>(C328*1.19469026548)+(0)</f>
        <v>31.659292035220002</v>
      </c>
      <c r="I328" s="34">
        <f>(C328*1.16814159292)+(-2)</f>
        <v>28.955752212380002</v>
      </c>
      <c r="J328" s="34">
        <f>(C328*1.1238938053)+(-3.9)</f>
        <v>25.883185840450004</v>
      </c>
      <c r="K328" s="34">
        <f>(C328*1.07964601769)+(-5.6)</f>
        <v>23.010619468785002</v>
      </c>
    </row>
    <row r="329" spans="1:11" s="21" customFormat="1" ht="19.95" customHeight="1" x14ac:dyDescent="0.25">
      <c r="A329" s="13" t="str">
        <f>"15829"</f>
        <v>15829</v>
      </c>
      <c r="B329" s="14" t="s">
        <v>679</v>
      </c>
      <c r="C329" s="13" t="str">
        <f>"17.9"</f>
        <v>17.9</v>
      </c>
      <c r="D329" s="32">
        <f>(C329*1.24778761061)+(0.4)</f>
        <v>22.735398229918999</v>
      </c>
      <c r="E329" s="33">
        <f>(C329*1.16814159292)+(-1)</f>
        <v>19.909734513267999</v>
      </c>
      <c r="F329" s="33">
        <f>(C329*1.1238938053)+(-4.4)</f>
        <v>15.717699114869999</v>
      </c>
      <c r="G329" s="33">
        <f>(C329*1.06194690265)+(-5.9)</f>
        <v>13.108849557434995</v>
      </c>
      <c r="H329" s="34">
        <f>(C329*1.19469026548)+(0)</f>
        <v>21.384955752091997</v>
      </c>
      <c r="I329" s="34">
        <f>(C329*1.16814159292)+(-2)</f>
        <v>18.909734513267999</v>
      </c>
      <c r="J329" s="34">
        <f>(C329*1.1238938053)+(-3.9)</f>
        <v>16.217699114870001</v>
      </c>
      <c r="K329" s="34">
        <f>(C329*1.07964601769)+(-5.6)</f>
        <v>13.725663716651001</v>
      </c>
    </row>
    <row r="330" spans="1:11" s="21" customFormat="1" ht="19.95" customHeight="1" x14ac:dyDescent="0.25">
      <c r="A330" s="13" t="str">
        <f>"15830"</f>
        <v>15830</v>
      </c>
      <c r="B330" s="14" t="s">
        <v>680</v>
      </c>
      <c r="C330" s="13" t="str">
        <f>"14.9"</f>
        <v>14.9</v>
      </c>
      <c r="D330" s="32">
        <f>(C330*1.24778761061)+(0.4)</f>
        <v>18.992035398089001</v>
      </c>
      <c r="E330" s="33">
        <f>(C330*1.16814159292)+(-1)</f>
        <v>16.405309734508002</v>
      </c>
      <c r="F330" s="33">
        <f>(C330*1.1238938053)+(-4.4)</f>
        <v>12.34601769897</v>
      </c>
      <c r="G330" s="33">
        <f>(C330*1.06194690265)+(-5.9)</f>
        <v>9.9230088494849991</v>
      </c>
      <c r="H330" s="34">
        <f>(C330*1.19469026548)+(0)</f>
        <v>17.800884955652002</v>
      </c>
      <c r="I330" s="34">
        <f>(C330*1.16814159292)+(-2)</f>
        <v>15.405309734508002</v>
      </c>
      <c r="J330" s="34">
        <f>(C330*1.1238938053)+(-3.9)</f>
        <v>12.84601769897</v>
      </c>
      <c r="K330" s="34">
        <f>(C330*1.07964601769)+(-5.6)</f>
        <v>10.486725663581</v>
      </c>
    </row>
    <row r="331" spans="1:11" s="21" customFormat="1" ht="19.95" customHeight="1" x14ac:dyDescent="0.25">
      <c r="A331" s="13" t="str">
        <f>"15831"</f>
        <v>15831</v>
      </c>
      <c r="B331" s="14" t="s">
        <v>681</v>
      </c>
      <c r="C331" s="13" t="str">
        <f>"15.0"</f>
        <v>15.0</v>
      </c>
      <c r="D331" s="32">
        <f>(C331*1.24778761061)+(0.4)</f>
        <v>19.11681415915</v>
      </c>
      <c r="E331" s="33">
        <f>(C331*1.16814159292)+(-1)</f>
        <v>16.5221238938</v>
      </c>
      <c r="F331" s="33">
        <f>(C331*1.1238938053)+(-4.4)</f>
        <v>12.458407079500001</v>
      </c>
      <c r="G331" s="33">
        <f>(C331*1.06194690265)+(-5.9)</f>
        <v>10.029203539749998</v>
      </c>
      <c r="H331" s="34">
        <f>(C331*1.19469026548)+(0)</f>
        <v>17.920353982200002</v>
      </c>
      <c r="I331" s="34">
        <f>(C331*1.16814159292)+(-2)</f>
        <v>15.5221238938</v>
      </c>
      <c r="J331" s="34">
        <f>(C331*1.1238938053)+(-3.9)</f>
        <v>12.958407079500001</v>
      </c>
      <c r="K331" s="34">
        <f>(C331*1.07964601769)+(-5.6)</f>
        <v>10.594690265350001</v>
      </c>
    </row>
    <row r="332" spans="1:11" s="21" customFormat="1" ht="19.95" customHeight="1" x14ac:dyDescent="0.25">
      <c r="A332" s="13" t="str">
        <f>"1000858"</f>
        <v>1000858</v>
      </c>
      <c r="B332" s="14" t="s">
        <v>682</v>
      </c>
      <c r="C332" s="13" t="str">
        <f>"31.8"</f>
        <v>31.8</v>
      </c>
      <c r="D332" s="32">
        <f>(C332*1.24778761061)+(0.4)</f>
        <v>40.079646017398005</v>
      </c>
      <c r="E332" s="33">
        <f>(C332*1.16814159292)+(-1)</f>
        <v>36.146902654856007</v>
      </c>
      <c r="F332" s="33">
        <f>(C332*1.1238938053)+(-4.4)</f>
        <v>31.339823008540002</v>
      </c>
      <c r="G332" s="33">
        <f>(C332*1.06194690265)+(-5.9)</f>
        <v>27.86991150427</v>
      </c>
      <c r="H332" s="34">
        <f>(C332*1.19469026548)+(0)</f>
        <v>37.991150442264001</v>
      </c>
      <c r="I332" s="34">
        <f>(C332*1.16814159292)+(-2)</f>
        <v>35.146902654856007</v>
      </c>
      <c r="J332" s="34">
        <f>(C332*1.1238938053)+(-3.9)</f>
        <v>31.839823008540002</v>
      </c>
      <c r="K332" s="34">
        <f>(C332*1.07964601769)+(-5.6)</f>
        <v>28.732743362542003</v>
      </c>
    </row>
    <row r="333" spans="1:11" s="21" customFormat="1" ht="19.95" customHeight="1" x14ac:dyDescent="0.25">
      <c r="A333" s="13" t="str">
        <f>"15834"</f>
        <v>15834</v>
      </c>
      <c r="B333" s="14" t="s">
        <v>683</v>
      </c>
      <c r="C333" s="13" t="str">
        <f>"33.1"</f>
        <v>33.1</v>
      </c>
      <c r="D333" s="32">
        <f>(C333*1.24778761061)+(0.4)</f>
        <v>41.701769911191001</v>
      </c>
      <c r="E333" s="33">
        <f>(C333*1.16814159292)+(-1)</f>
        <v>37.665486725652002</v>
      </c>
      <c r="F333" s="33">
        <f>(C333*1.1238938053)+(-4.4)</f>
        <v>32.800884955430007</v>
      </c>
      <c r="G333" s="33">
        <f>(C333*1.06194690265)+(-5.9)</f>
        <v>29.250442477714998</v>
      </c>
      <c r="H333" s="34">
        <f>(C333*1.19469026548)+(0)</f>
        <v>39.544247787388002</v>
      </c>
      <c r="I333" s="34">
        <f>(C333*1.16814159292)+(-2)</f>
        <v>36.665486725652002</v>
      </c>
      <c r="J333" s="34">
        <f>(C333*1.1238938053)+(-3.9)</f>
        <v>33.300884955430007</v>
      </c>
      <c r="K333" s="34">
        <f>(C333*1.07964601769)+(-5.6)</f>
        <v>30.136283185539</v>
      </c>
    </row>
    <row r="334" spans="1:11" s="21" customFormat="1" ht="19.95" customHeight="1" x14ac:dyDescent="0.25">
      <c r="A334" s="13" t="str">
        <f>"24532"</f>
        <v>24532</v>
      </c>
      <c r="B334" s="14" t="s">
        <v>684</v>
      </c>
      <c r="C334" s="13" t="str">
        <f>"29.0"</f>
        <v>29.0</v>
      </c>
      <c r="D334" s="32">
        <f>(C334*1.24778761061)+(0.4)</f>
        <v>36.585840707690004</v>
      </c>
      <c r="E334" s="33">
        <f>(C334*1.16814159292)+(-1)</f>
        <v>32.876106194680006</v>
      </c>
      <c r="F334" s="33">
        <f>(C334*1.1238938053)+(-4.4)</f>
        <v>28.192920353700003</v>
      </c>
      <c r="G334" s="33">
        <f>(C334*1.06194690265)+(-5.9)</f>
        <v>24.896460176849999</v>
      </c>
      <c r="H334" s="34">
        <f>(C334*1.19469026548)+(0)</f>
        <v>34.646017698919998</v>
      </c>
      <c r="I334" s="34">
        <f>(C334*1.16814159292)+(-2)</f>
        <v>31.876106194680006</v>
      </c>
      <c r="J334" s="34">
        <f>(C334*1.1238938053)+(-3.9)</f>
        <v>28.692920353700003</v>
      </c>
      <c r="K334" s="34">
        <f>(C334*1.07964601769)+(-5.6)</f>
        <v>25.709734513009998</v>
      </c>
    </row>
    <row r="335" spans="1:11" s="21" customFormat="1" ht="19.95" customHeight="1" x14ac:dyDescent="0.25">
      <c r="A335" s="13" t="str">
        <f>"15837"</f>
        <v>15837</v>
      </c>
      <c r="B335" s="14" t="s">
        <v>685</v>
      </c>
      <c r="C335" s="13" t="str">
        <f>"26.8"</f>
        <v>26.8</v>
      </c>
      <c r="D335" s="32">
        <f>(C335*1.24778761061)+(0.4)</f>
        <v>33.840707964347999</v>
      </c>
      <c r="E335" s="33">
        <f>(C335*1.16814159292)+(-1)</f>
        <v>30.306194690256003</v>
      </c>
      <c r="F335" s="33">
        <f>(C335*1.1238938053)+(-4.4)</f>
        <v>25.720353982040002</v>
      </c>
      <c r="G335" s="33">
        <f>(C335*1.06194690265)+(-5.9)</f>
        <v>22.560176991020001</v>
      </c>
      <c r="H335" s="34">
        <f>(C335*1.19469026548)+(0)</f>
        <v>32.017699114864001</v>
      </c>
      <c r="I335" s="34">
        <f>(C335*1.16814159292)+(-2)</f>
        <v>29.306194690256003</v>
      </c>
      <c r="J335" s="34">
        <f>(C335*1.1238938053)+(-3.9)</f>
        <v>26.220353982040002</v>
      </c>
      <c r="K335" s="34">
        <f>(C335*1.07964601769)+(-5.6)</f>
        <v>23.334513274092004</v>
      </c>
    </row>
    <row r="336" spans="1:11" s="21" customFormat="1" ht="19.95" customHeight="1" x14ac:dyDescent="0.25">
      <c r="A336" s="13" t="str">
        <f>"68004"</f>
        <v>68004</v>
      </c>
      <c r="B336" s="14" t="s">
        <v>686</v>
      </c>
      <c r="C336" s="13" t="str">
        <f>"25.5"</f>
        <v>25.5</v>
      </c>
      <c r="D336" s="32">
        <f>(C336*1.24778761061)+(0.4)</f>
        <v>32.218584070555004</v>
      </c>
      <c r="E336" s="33">
        <f>(C336*1.16814159292)+(-1)</f>
        <v>28.787610619460001</v>
      </c>
      <c r="F336" s="33">
        <f>(C336*1.1238938053)+(-4.4)</f>
        <v>24.259292035150004</v>
      </c>
      <c r="G336" s="33">
        <f>(C336*1.06194690265)+(-5.9)</f>
        <v>21.179646017574996</v>
      </c>
      <c r="H336" s="34">
        <f>(C336*1.19469026548)+(0)</f>
        <v>30.46460176974</v>
      </c>
      <c r="I336" s="34">
        <f>(C336*1.16814159292)+(-2)</f>
        <v>27.787610619460001</v>
      </c>
      <c r="J336" s="34">
        <f>(C336*1.1238938053)+(-3.9)</f>
        <v>24.759292035150004</v>
      </c>
      <c r="K336" s="34">
        <f>(C336*1.07964601769)+(-5.6)</f>
        <v>21.930973451094999</v>
      </c>
    </row>
    <row r="337" spans="1:11" s="21" customFormat="1" ht="19.95" customHeight="1" x14ac:dyDescent="0.25">
      <c r="A337" s="13" t="str">
        <f>"80495"</f>
        <v>80495</v>
      </c>
      <c r="B337" s="14" t="s">
        <v>687</v>
      </c>
      <c r="C337" s="13" t="str">
        <f>"20.2"</f>
        <v>20.2</v>
      </c>
      <c r="D337" s="32">
        <f>(C337*1.24778761061)+(0.4)</f>
        <v>25.605309734321999</v>
      </c>
      <c r="E337" s="33">
        <f>(C337*1.16814159292)+(-1)</f>
        <v>22.596460176983999</v>
      </c>
      <c r="F337" s="33">
        <f>(C337*1.1238938053)+(-4.4)</f>
        <v>18.302654867059999</v>
      </c>
      <c r="G337" s="33">
        <f>(C337*1.06194690265)+(-5.9)</f>
        <v>15.551327433529996</v>
      </c>
      <c r="H337" s="34">
        <f>(C337*1.19469026548)+(0)</f>
        <v>24.132743362696001</v>
      </c>
      <c r="I337" s="34">
        <f>(C337*1.16814159292)+(-2)</f>
        <v>21.596460176983999</v>
      </c>
      <c r="J337" s="34">
        <f>(C337*1.1238938053)+(-3.9)</f>
        <v>18.802654867060003</v>
      </c>
      <c r="K337" s="34">
        <f>(C337*1.07964601769)+(-5.6)</f>
        <v>16.208849557337999</v>
      </c>
    </row>
    <row r="338" spans="1:11" s="21" customFormat="1" ht="19.95" customHeight="1" x14ac:dyDescent="0.25">
      <c r="A338" s="13" t="str">
        <f>"77762"</f>
        <v>77762</v>
      </c>
      <c r="B338" s="14" t="s">
        <v>688</v>
      </c>
      <c r="C338" s="13" t="str">
        <f>"23.5"</f>
        <v>23.5</v>
      </c>
      <c r="D338" s="32">
        <f>(C338*1.24778761061)+(0.4)</f>
        <v>29.723008849335002</v>
      </c>
      <c r="E338" s="33">
        <f>(C338*1.16814159292)+(-1)</f>
        <v>26.451327433620001</v>
      </c>
      <c r="F338" s="33">
        <f>(C338*1.1238938053)+(-4.4)</f>
        <v>22.011504424549997</v>
      </c>
      <c r="G338" s="33">
        <f>(C338*1.06194690265)+(-5.9)</f>
        <v>19.055752212274996</v>
      </c>
      <c r="H338" s="34">
        <f>(C338*1.19469026548)+(0)</f>
        <v>28.075221238779999</v>
      </c>
      <c r="I338" s="34">
        <f>(C338*1.16814159292)+(-2)</f>
        <v>25.451327433620001</v>
      </c>
      <c r="J338" s="34">
        <f>(C338*1.1238938053)+(-3.9)</f>
        <v>22.511504424550001</v>
      </c>
      <c r="K338" s="34">
        <f>(C338*1.07964601769)+(-5.6)</f>
        <v>19.771681415715001</v>
      </c>
    </row>
    <row r="339" spans="1:11" s="21" customFormat="1" ht="19.95" customHeight="1" x14ac:dyDescent="0.25">
      <c r="A339" s="13" t="str">
        <f>"15839"</f>
        <v>15839</v>
      </c>
      <c r="B339" s="14" t="s">
        <v>689</v>
      </c>
      <c r="C339" s="13" t="str">
        <f>"9.3"</f>
        <v>9.3</v>
      </c>
      <c r="D339" s="32">
        <f>(C339*1.24778761061)+(0.4)</f>
        <v>12.004424778673002</v>
      </c>
      <c r="E339" s="33">
        <f>(C339*1.16814159292)+(-1)</f>
        <v>9.8637168141560014</v>
      </c>
      <c r="F339" s="33">
        <f>(C339*1.1238938053)+(-4.4)</f>
        <v>6.0522123892900002</v>
      </c>
      <c r="G339" s="33">
        <f>(C339*1.06194690265)+(-5.9)</f>
        <v>3.9761061946450003</v>
      </c>
      <c r="H339" s="34">
        <f>(C339*1.19469026548)+(0)</f>
        <v>11.110619468964002</v>
      </c>
      <c r="I339" s="34">
        <f>(C339*1.16814159292)+(-2)</f>
        <v>8.8637168141560014</v>
      </c>
      <c r="J339" s="34">
        <f>(C339*1.1238938053)+(-3.9)</f>
        <v>6.5522123892900002</v>
      </c>
      <c r="K339" s="34">
        <f>(C339*1.07964601769)+(-5.6)</f>
        <v>4.4407079645170011</v>
      </c>
    </row>
    <row r="340" spans="1:11" s="21" customFormat="1" ht="19.95" customHeight="1" x14ac:dyDescent="0.25">
      <c r="A340" s="13" t="str">
        <f>"3200"</f>
        <v>3200</v>
      </c>
      <c r="B340" s="14" t="s">
        <v>690</v>
      </c>
      <c r="C340" s="13" t="str">
        <f>"12.6"</f>
        <v>12.6</v>
      </c>
      <c r="D340" s="32">
        <f>(C340*1.24778761061)+(0.4)</f>
        <v>16.122123893686002</v>
      </c>
      <c r="E340" s="33">
        <f>(C340*1.16814159292)+(-1)</f>
        <v>13.718584070792001</v>
      </c>
      <c r="F340" s="33">
        <f>(C340*1.1238938053)+(-4.4)</f>
        <v>9.7610619467799999</v>
      </c>
      <c r="G340" s="33">
        <f>(C340*1.06194690265)+(-5.9)</f>
        <v>7.4805309733899978</v>
      </c>
      <c r="H340" s="34">
        <f>(C340*1.19469026548)+(0)</f>
        <v>15.053097345048</v>
      </c>
      <c r="I340" s="34">
        <f>(C340*1.16814159292)+(-2)</f>
        <v>12.718584070792001</v>
      </c>
      <c r="J340" s="34">
        <f>(C340*1.1238938053)+(-3.9)</f>
        <v>10.26106194678</v>
      </c>
      <c r="K340" s="34">
        <f>(C340*1.07964601769)+(-5.6)</f>
        <v>8.003539822894</v>
      </c>
    </row>
    <row r="341" spans="1:11" s="21" customFormat="1" ht="19.95" customHeight="1" x14ac:dyDescent="0.25">
      <c r="A341" s="13" t="str">
        <f>"79537"</f>
        <v>79537</v>
      </c>
      <c r="B341" s="14" t="s">
        <v>691</v>
      </c>
      <c r="C341" s="13" t="str">
        <f>"15.2"</f>
        <v>15.2</v>
      </c>
      <c r="D341" s="32">
        <f>(C341*1.24778761061)+(0.4)</f>
        <v>19.366371681272</v>
      </c>
      <c r="E341" s="33">
        <f>(C341*1.16814159292)+(-1)</f>
        <v>16.755752212383999</v>
      </c>
      <c r="F341" s="33">
        <f>(C341*1.1238938053)+(-4.4)</f>
        <v>12.683185840559998</v>
      </c>
      <c r="G341" s="33">
        <f>(C341*1.06194690265)+(-5.9)</f>
        <v>10.241592920279997</v>
      </c>
      <c r="H341" s="34">
        <f>(C341*1.19469026548)+(0)</f>
        <v>18.159292035295998</v>
      </c>
      <c r="I341" s="34">
        <f>(C341*1.16814159292)+(-2)</f>
        <v>15.755752212383999</v>
      </c>
      <c r="J341" s="34">
        <f>(C341*1.1238938053)+(-3.9)</f>
        <v>13.183185840559998</v>
      </c>
      <c r="K341" s="34">
        <f>(C341*1.07964601769)+(-5.6)</f>
        <v>10.810619468888001</v>
      </c>
    </row>
    <row r="342" spans="1:11" s="21" customFormat="1" ht="19.95" customHeight="1" x14ac:dyDescent="0.25">
      <c r="A342" s="13" t="str">
        <f>"76853"</f>
        <v>76853</v>
      </c>
      <c r="B342" s="14" t="s">
        <v>692</v>
      </c>
      <c r="C342" s="13" t="str">
        <f>"16.8"</f>
        <v>16.8</v>
      </c>
      <c r="D342" s="32">
        <f>(C342*1.24778761061)+(0.4)</f>
        <v>21.362831858248001</v>
      </c>
      <c r="E342" s="33">
        <f>(C342*1.16814159292)+(-1)</f>
        <v>18.624778761056003</v>
      </c>
      <c r="F342" s="33">
        <f>(C342*1.1238938053)+(-4.4)</f>
        <v>14.481415929040002</v>
      </c>
      <c r="G342" s="33">
        <f>(C342*1.06194690265)+(-5.9)</f>
        <v>11.94070796452</v>
      </c>
      <c r="H342" s="34">
        <f>(C342*1.19469026548)+(0)</f>
        <v>20.070796460064003</v>
      </c>
      <c r="I342" s="34">
        <f>(C342*1.16814159292)+(-2)</f>
        <v>17.624778761056003</v>
      </c>
      <c r="J342" s="34">
        <f>(C342*1.1238938053)+(-3.9)</f>
        <v>14.981415929040002</v>
      </c>
      <c r="K342" s="34">
        <f>(C342*1.07964601769)+(-5.6)</f>
        <v>12.538053097192</v>
      </c>
    </row>
    <row r="343" spans="1:11" s="21" customFormat="1" ht="19.95" customHeight="1" x14ac:dyDescent="0.25">
      <c r="A343" s="13" t="str">
        <f>"15841"</f>
        <v>15841</v>
      </c>
      <c r="B343" s="14" t="s">
        <v>693</v>
      </c>
      <c r="C343" s="13" t="str">
        <f>"21.2"</f>
        <v>21.2</v>
      </c>
      <c r="D343" s="32">
        <f>(C343*1.24778761061)+(0.4)</f>
        <v>26.853097344931999</v>
      </c>
      <c r="E343" s="33">
        <f>(C343*1.16814159292)+(-1)</f>
        <v>23.764601769904001</v>
      </c>
      <c r="F343" s="33">
        <f>(C343*1.1238938053)+(-4.4)</f>
        <v>19.426548672359999</v>
      </c>
      <c r="G343" s="33">
        <f>(C343*1.06194690265)+(-5.9)</f>
        <v>16.613274336179998</v>
      </c>
      <c r="H343" s="34">
        <f>(C343*1.19469026548)+(0)</f>
        <v>25.327433628175999</v>
      </c>
      <c r="I343" s="34">
        <f>(C343*1.16814159292)+(-2)</f>
        <v>22.764601769904001</v>
      </c>
      <c r="J343" s="34">
        <f>(C343*1.1238938053)+(-3.9)</f>
        <v>19.926548672360003</v>
      </c>
      <c r="K343" s="34">
        <f>(C343*1.07964601769)+(-5.6)</f>
        <v>17.288495575028001</v>
      </c>
    </row>
    <row r="344" spans="1:11" s="21" customFormat="1" ht="19.95" customHeight="1" x14ac:dyDescent="0.25">
      <c r="A344" s="13" t="str">
        <f>"47232"</f>
        <v>47232</v>
      </c>
      <c r="B344" s="14" t="s">
        <v>694</v>
      </c>
      <c r="C344" s="13" t="str">
        <f>"15.7"</f>
        <v>15.7</v>
      </c>
      <c r="D344" s="32">
        <f>(C344*1.24778761061)+(0.4)</f>
        <v>19.990265486576998</v>
      </c>
      <c r="E344" s="33">
        <f>(C344*1.16814159292)+(-1)</f>
        <v>17.339823008844</v>
      </c>
      <c r="F344" s="33">
        <f>(C344*1.1238938053)+(-4.4)</f>
        <v>13.245132743209998</v>
      </c>
      <c r="G344" s="33">
        <f>(C344*1.06194690265)+(-5.9)</f>
        <v>10.772566371604997</v>
      </c>
      <c r="H344" s="34">
        <f>(C344*1.19469026548)+(0)</f>
        <v>18.756637168036001</v>
      </c>
      <c r="I344" s="34">
        <f>(C344*1.16814159292)+(-2)</f>
        <v>16.339823008844</v>
      </c>
      <c r="J344" s="34">
        <f>(C344*1.1238938053)+(-3.9)</f>
        <v>13.745132743209998</v>
      </c>
      <c r="K344" s="34">
        <f>(C344*1.07964601769)+(-5.6)</f>
        <v>11.350442477732999</v>
      </c>
    </row>
    <row r="345" spans="1:11" s="21" customFormat="1" ht="19.95" customHeight="1" x14ac:dyDescent="0.25">
      <c r="A345" s="13" t="str">
        <f>"1012994"</f>
        <v>1012994</v>
      </c>
      <c r="B345" s="14" t="s">
        <v>695</v>
      </c>
      <c r="C345" s="13" t="str">
        <f>"23.6"</f>
        <v>23.6</v>
      </c>
      <c r="D345" s="32">
        <f>(C345*1.24778761061)+(0.4)</f>
        <v>29.847787610396004</v>
      </c>
      <c r="E345" s="33">
        <f>(C345*1.16814159292)+(-1)</f>
        <v>26.568141592912003</v>
      </c>
      <c r="F345" s="33">
        <f>(C345*1.1238938053)+(-4.4)</f>
        <v>22.123893805080002</v>
      </c>
      <c r="G345" s="33">
        <f>(C345*1.06194690265)+(-5.9)</f>
        <v>19.161946902540002</v>
      </c>
      <c r="H345" s="34">
        <f>(C345*1.19469026548)+(0)</f>
        <v>28.194690265328003</v>
      </c>
      <c r="I345" s="34">
        <f>(C345*1.16814159292)+(-2)</f>
        <v>25.568141592912003</v>
      </c>
      <c r="J345" s="34">
        <f>(C345*1.1238938053)+(-3.9)</f>
        <v>22.623893805080005</v>
      </c>
      <c r="K345" s="34">
        <f>(C345*1.07964601769)+(-5.6)</f>
        <v>19.879646017483999</v>
      </c>
    </row>
    <row r="346" spans="1:11" s="21" customFormat="1" ht="19.95" customHeight="1" x14ac:dyDescent="0.25">
      <c r="A346" s="13" t="str">
        <f>"1012995"</f>
        <v>1012995</v>
      </c>
      <c r="B346" s="14" t="s">
        <v>696</v>
      </c>
      <c r="C346" s="13" t="str">
        <f>"12.9"</f>
        <v>12.9</v>
      </c>
      <c r="D346" s="32">
        <f>(C346*1.24778761061)+(0.4)</f>
        <v>16.496460176869</v>
      </c>
      <c r="E346" s="33">
        <f>(C346*1.16814159292)+(-1)</f>
        <v>14.069026548668001</v>
      </c>
      <c r="F346" s="33">
        <f>(C346*1.1238938053)+(-4.4)</f>
        <v>10.09823008837</v>
      </c>
      <c r="G346" s="33">
        <f>(C346*1.06194690265)+(-5.9)</f>
        <v>7.7991150441849992</v>
      </c>
      <c r="H346" s="34">
        <f>(C346*1.19469026548)+(0)</f>
        <v>15.411504424692001</v>
      </c>
      <c r="I346" s="34">
        <f>(C346*1.16814159292)+(-2)</f>
        <v>13.069026548668001</v>
      </c>
      <c r="J346" s="34">
        <f>(C346*1.1238938053)+(-3.9)</f>
        <v>10.59823008837</v>
      </c>
      <c r="K346" s="34">
        <f>(C346*1.07964601769)+(-5.6)</f>
        <v>8.3274336282010015</v>
      </c>
    </row>
    <row r="347" spans="1:11" s="21" customFormat="1" ht="19.95" customHeight="1" x14ac:dyDescent="0.25">
      <c r="A347" s="13" t="str">
        <f>"15842"</f>
        <v>15842</v>
      </c>
      <c r="B347" s="14" t="s">
        <v>697</v>
      </c>
      <c r="C347" s="13" t="str">
        <f>"22.3"</f>
        <v>22.3</v>
      </c>
      <c r="D347" s="32">
        <f>(C347*1.24778761061)+(0.4)</f>
        <v>28.225663716603002</v>
      </c>
      <c r="E347" s="33">
        <f>(C347*1.16814159292)+(-1)</f>
        <v>25.049557522116004</v>
      </c>
      <c r="F347" s="33">
        <f>(C347*1.1238938053)+(-4.4)</f>
        <v>20.662831858190003</v>
      </c>
      <c r="G347" s="33">
        <f>(C347*1.06194690265)+(-5.9)</f>
        <v>17.781415929094997</v>
      </c>
      <c r="H347" s="34">
        <f>(C347*1.19469026548)+(0)</f>
        <v>26.641592920204001</v>
      </c>
      <c r="I347" s="34">
        <f>(C347*1.16814159292)+(-2)</f>
        <v>24.049557522116004</v>
      </c>
      <c r="J347" s="34">
        <f>(C347*1.1238938053)+(-3.9)</f>
        <v>21.162831858190003</v>
      </c>
      <c r="K347" s="34">
        <f>(C347*1.07964601769)+(-5.6)</f>
        <v>18.476106194487002</v>
      </c>
    </row>
    <row r="348" spans="1:11" s="21" customFormat="1" ht="19.95" customHeight="1" x14ac:dyDescent="0.25">
      <c r="A348" s="13" t="str">
        <f>"68980"</f>
        <v>68980</v>
      </c>
      <c r="B348" s="14" t="s">
        <v>698</v>
      </c>
      <c r="C348" s="13" t="str">
        <f>"24.3"</f>
        <v>24.3</v>
      </c>
      <c r="D348" s="32">
        <f>(C348*1.24778761061)+(0.4)</f>
        <v>30.721238937823003</v>
      </c>
      <c r="E348" s="33">
        <f>(C348*1.16814159292)+(-1)</f>
        <v>27.385840707956003</v>
      </c>
      <c r="F348" s="33">
        <f>(C348*1.1238938053)+(-4.4)</f>
        <v>22.910619468790003</v>
      </c>
      <c r="G348" s="33">
        <f>(C348*1.06194690265)+(-5.9)</f>
        <v>19.905309734394997</v>
      </c>
      <c r="H348" s="34">
        <f>(C348*1.19469026548)+(0)</f>
        <v>29.030973451164002</v>
      </c>
      <c r="I348" s="34">
        <f>(C348*1.16814159292)+(-2)</f>
        <v>26.385840707956003</v>
      </c>
      <c r="J348" s="34">
        <f>(C348*1.1238938053)+(-3.9)</f>
        <v>23.410619468790003</v>
      </c>
      <c r="K348" s="34">
        <f>(C348*1.07964601769)+(-5.6)</f>
        <v>20.635398229867</v>
      </c>
    </row>
    <row r="349" spans="1:11" s="21" customFormat="1" ht="19.95" customHeight="1" x14ac:dyDescent="0.25">
      <c r="A349" s="13" t="str">
        <f>"1005275"</f>
        <v>1005275</v>
      </c>
      <c r="B349" s="14" t="s">
        <v>699</v>
      </c>
      <c r="C349" s="13" t="str">
        <f>"37.2"</f>
        <v>37.2</v>
      </c>
      <c r="D349" s="32">
        <f>(C349*1.24778761061)+(0.4)</f>
        <v>46.817699114692005</v>
      </c>
      <c r="E349" s="33">
        <f>(C349*1.16814159292)+(-1)</f>
        <v>42.454867256624006</v>
      </c>
      <c r="F349" s="33">
        <f>(C349*1.1238938053)+(-4.4)</f>
        <v>37.408849557160003</v>
      </c>
      <c r="G349" s="33">
        <f>(C349*1.06194690265)+(-5.9)</f>
        <v>33.604424778580004</v>
      </c>
      <c r="H349" s="34">
        <f>(C349*1.19469026548)+(0)</f>
        <v>44.442477875856007</v>
      </c>
      <c r="I349" s="34">
        <f>(C349*1.16814159292)+(-2)</f>
        <v>41.454867256624006</v>
      </c>
      <c r="J349" s="34">
        <f>(C349*1.1238938053)+(-3.9)</f>
        <v>37.908849557160003</v>
      </c>
      <c r="K349" s="34">
        <f>(C349*1.07964601769)+(-5.6)</f>
        <v>34.562831858068002</v>
      </c>
    </row>
    <row r="350" spans="1:11" s="21" customFormat="1" ht="19.95" customHeight="1" x14ac:dyDescent="0.25">
      <c r="A350" s="13" t="str">
        <f>"1005274"</f>
        <v>1005274</v>
      </c>
      <c r="B350" s="14" t="s">
        <v>700</v>
      </c>
      <c r="C350" s="13" t="str">
        <f>"35.6"</f>
        <v>35.6</v>
      </c>
      <c r="D350" s="32">
        <f>(C350*1.24778761061)+(0.4)</f>
        <v>44.821238937716004</v>
      </c>
      <c r="E350" s="33">
        <f>(C350*1.16814159292)+(-1)</f>
        <v>40.585840707952002</v>
      </c>
      <c r="F350" s="33">
        <f>(C350*1.1238938053)+(-4.4)</f>
        <v>35.610619468680007</v>
      </c>
      <c r="G350" s="33">
        <f>(C350*1.06194690265)+(-5.9)</f>
        <v>31.905309734340001</v>
      </c>
      <c r="H350" s="34">
        <f>(C350*1.19469026548)+(0)</f>
        <v>42.530973451088002</v>
      </c>
      <c r="I350" s="34">
        <f>(C350*1.16814159292)+(-2)</f>
        <v>39.585840707952002</v>
      </c>
      <c r="J350" s="34">
        <f>(C350*1.1238938053)+(-3.9)</f>
        <v>36.110619468680007</v>
      </c>
      <c r="K350" s="34">
        <f>(C350*1.07964601769)+(-5.6)</f>
        <v>32.835398229764003</v>
      </c>
    </row>
    <row r="351" spans="1:11" s="21" customFormat="1" ht="19.95" customHeight="1" x14ac:dyDescent="0.25">
      <c r="A351" s="13" t="str">
        <f>"64414"</f>
        <v>64414</v>
      </c>
      <c r="B351" s="14" t="s">
        <v>701</v>
      </c>
      <c r="C351" s="13" t="str">
        <f>"19.3"</f>
        <v>19.3</v>
      </c>
      <c r="D351" s="32">
        <f>(C351*1.24778761061)+(0.4)</f>
        <v>24.482300884773</v>
      </c>
      <c r="E351" s="33">
        <f>(C351*1.16814159292)+(-1)</f>
        <v>21.545132743356003</v>
      </c>
      <c r="F351" s="33">
        <f>(C351*1.1238938053)+(-4.4)</f>
        <v>17.291150442290004</v>
      </c>
      <c r="G351" s="33">
        <f>(C351*1.06194690265)+(-5.9)</f>
        <v>14.595575221144999</v>
      </c>
      <c r="H351" s="34">
        <f>(C351*1.19469026548)+(0)</f>
        <v>23.057522123764002</v>
      </c>
      <c r="I351" s="34">
        <f>(C351*1.16814159292)+(-2)</f>
        <v>20.545132743356003</v>
      </c>
      <c r="J351" s="34">
        <f>(C351*1.1238938053)+(-3.9)</f>
        <v>17.791150442290004</v>
      </c>
      <c r="K351" s="34">
        <f>(C351*1.07964601769)+(-5.6)</f>
        <v>15.237168141417003</v>
      </c>
    </row>
    <row r="352" spans="1:11" s="21" customFormat="1" ht="19.95" customHeight="1" x14ac:dyDescent="0.25">
      <c r="A352" s="13" t="str">
        <f>"15845"</f>
        <v>15845</v>
      </c>
      <c r="B352" s="14" t="s">
        <v>702</v>
      </c>
      <c r="C352" s="13" t="str">
        <f>"26.6"</f>
        <v>26.6</v>
      </c>
      <c r="D352" s="32">
        <f>(C352*1.24778761061)+(0.4)</f>
        <v>33.591150442226002</v>
      </c>
      <c r="E352" s="33">
        <f>(C352*1.16814159292)+(-1)</f>
        <v>30.072566371672004</v>
      </c>
      <c r="F352" s="33">
        <f>(C352*1.1238938053)+(-4.4)</f>
        <v>25.495575220980001</v>
      </c>
      <c r="G352" s="33">
        <f>(C352*1.06194690265)+(-5.9)</f>
        <v>22.347787610490002</v>
      </c>
      <c r="H352" s="34">
        <f>(C352*1.19469026548)+(0)</f>
        <v>31.778761061768002</v>
      </c>
      <c r="I352" s="34">
        <f>(C352*1.16814159292)+(-2)</f>
        <v>29.072566371672004</v>
      </c>
      <c r="J352" s="34">
        <f>(C352*1.1238938053)+(-3.9)</f>
        <v>25.995575220980005</v>
      </c>
      <c r="K352" s="34">
        <f>(C352*1.07964601769)+(-5.6)</f>
        <v>23.118584070554</v>
      </c>
    </row>
    <row r="353" spans="1:11" s="21" customFormat="1" ht="19.95" customHeight="1" x14ac:dyDescent="0.25">
      <c r="A353" s="13" t="str">
        <f>"74119"</f>
        <v>74119</v>
      </c>
      <c r="B353" s="14" t="s">
        <v>703</v>
      </c>
      <c r="C353" s="13" t="str">
        <f>"7.4"</f>
        <v>7.4</v>
      </c>
      <c r="D353" s="32">
        <f>(C353*1.24778761061)+(0.4)</f>
        <v>9.6336283185140008</v>
      </c>
      <c r="E353" s="33">
        <f>(C353*1.16814159292)+(-1)</f>
        <v>7.6442477876080002</v>
      </c>
      <c r="F353" s="33">
        <f>(C353*1.1238938053)+(-4.4)</f>
        <v>3.9168141592200012</v>
      </c>
      <c r="G353" s="33">
        <f>(C353*1.06194690265)+(-5.9)</f>
        <v>1.9584070796099997</v>
      </c>
      <c r="H353" s="34">
        <f>(C353*1.19469026548)+(0)</f>
        <v>8.840707964552001</v>
      </c>
      <c r="I353" s="34">
        <f>(C353*1.16814159292)+(-2)</f>
        <v>6.6442477876080002</v>
      </c>
      <c r="J353" s="34">
        <f>(C353*1.1238938053)+(-3.9)</f>
        <v>4.4168141592200012</v>
      </c>
      <c r="K353" s="34">
        <f>(C353*1.07964601769)+(-5.6)</f>
        <v>2.389380530906001</v>
      </c>
    </row>
    <row r="354" spans="1:11" s="21" customFormat="1" ht="19.95" customHeight="1" x14ac:dyDescent="0.25">
      <c r="A354" s="13" t="str">
        <f>"15849"</f>
        <v>15849</v>
      </c>
      <c r="B354" s="14" t="s">
        <v>704</v>
      </c>
      <c r="C354" s="13" t="str">
        <f>"11.8"</f>
        <v>11.8</v>
      </c>
      <c r="D354" s="32">
        <f>(C354*1.24778761061)+(0.4)</f>
        <v>15.123893805198003</v>
      </c>
      <c r="E354" s="33">
        <f>(C354*1.16814159292)+(-1)</f>
        <v>12.784070796456001</v>
      </c>
      <c r="F354" s="33">
        <f>(C354*1.1238938053)+(-4.4)</f>
        <v>8.8619469025400015</v>
      </c>
      <c r="G354" s="33">
        <f>(C354*1.06194690265)+(-5.9)</f>
        <v>6.63097345127</v>
      </c>
      <c r="H354" s="34">
        <f>(C354*1.19469026548)+(0)</f>
        <v>14.097345132664001</v>
      </c>
      <c r="I354" s="34">
        <f>(C354*1.16814159292)+(-2)</f>
        <v>11.784070796456001</v>
      </c>
      <c r="J354" s="34">
        <f>(C354*1.1238938053)+(-3.9)</f>
        <v>9.3619469025400015</v>
      </c>
      <c r="K354" s="34">
        <f>(C354*1.07964601769)+(-5.6)</f>
        <v>7.1398230087420007</v>
      </c>
    </row>
    <row r="355" spans="1:11" s="21" customFormat="1" ht="19.95" customHeight="1" x14ac:dyDescent="0.25">
      <c r="A355" s="13" t="str">
        <f>"15848"</f>
        <v>15848</v>
      </c>
      <c r="B355" s="14" t="s">
        <v>705</v>
      </c>
      <c r="C355" s="13" t="str">
        <f>"27.3"</f>
        <v>27.3</v>
      </c>
      <c r="D355" s="32">
        <f>(C355*1.24778761061)+(0.4)</f>
        <v>34.464601769653001</v>
      </c>
      <c r="E355" s="33">
        <f>(C355*1.16814159292)+(-1)</f>
        <v>30.890265486716004</v>
      </c>
      <c r="F355" s="33">
        <f>(C355*1.1238938053)+(-4.4)</f>
        <v>26.282300884690002</v>
      </c>
      <c r="G355" s="33">
        <f>(C355*1.06194690265)+(-5.9)</f>
        <v>23.091150442344997</v>
      </c>
      <c r="H355" s="34">
        <f>(C355*1.19469026548)+(0)</f>
        <v>32.615044247604004</v>
      </c>
      <c r="I355" s="34">
        <f>(C355*1.16814159292)+(-2)</f>
        <v>29.890265486716004</v>
      </c>
      <c r="J355" s="34">
        <f>(C355*1.1238938053)+(-3.9)</f>
        <v>26.782300884690002</v>
      </c>
      <c r="K355" s="34">
        <f>(C355*1.07964601769)+(-5.6)</f>
        <v>23.874336282937001</v>
      </c>
    </row>
    <row r="356" spans="1:11" s="21" customFormat="1" ht="19.95" customHeight="1" x14ac:dyDescent="0.25">
      <c r="A356" s="13" t="str">
        <f>"15850"</f>
        <v>15850</v>
      </c>
      <c r="B356" s="14" t="s">
        <v>706</v>
      </c>
      <c r="C356" s="13" t="str">
        <f>"20.2"</f>
        <v>20.2</v>
      </c>
      <c r="D356" s="32">
        <f>(C356*1.24778761061)+(0.4)</f>
        <v>25.605309734321999</v>
      </c>
      <c r="E356" s="33">
        <f>(C356*1.16814159292)+(-1)</f>
        <v>22.596460176983999</v>
      </c>
      <c r="F356" s="33">
        <f>(C356*1.1238938053)+(-4.4)</f>
        <v>18.302654867059999</v>
      </c>
      <c r="G356" s="33">
        <f>(C356*1.06194690265)+(-5.9)</f>
        <v>15.551327433529996</v>
      </c>
      <c r="H356" s="34">
        <f>(C356*1.19469026548)+(0)</f>
        <v>24.132743362696001</v>
      </c>
      <c r="I356" s="34">
        <f>(C356*1.16814159292)+(-2)</f>
        <v>21.596460176983999</v>
      </c>
      <c r="J356" s="34">
        <f>(C356*1.1238938053)+(-3.9)</f>
        <v>18.802654867060003</v>
      </c>
      <c r="K356" s="34">
        <f>(C356*1.07964601769)+(-5.6)</f>
        <v>16.208849557337999</v>
      </c>
    </row>
    <row r="357" spans="1:11" s="21" customFormat="1" ht="19.95" customHeight="1" x14ac:dyDescent="0.25">
      <c r="A357" s="13" t="str">
        <f>"74469"</f>
        <v>74469</v>
      </c>
      <c r="B357" s="14" t="s">
        <v>707</v>
      </c>
      <c r="C357" s="13" t="str">
        <f>"19.3"</f>
        <v>19.3</v>
      </c>
      <c r="D357" s="32">
        <f>(C357*1.24778761061)+(0.4)</f>
        <v>24.482300884773</v>
      </c>
      <c r="E357" s="33">
        <f>(C357*1.16814159292)+(-1)</f>
        <v>21.545132743356003</v>
      </c>
      <c r="F357" s="33">
        <f>(C357*1.1238938053)+(-4.4)</f>
        <v>17.291150442290004</v>
      </c>
      <c r="G357" s="33">
        <f>(C357*1.06194690265)+(-5.9)</f>
        <v>14.595575221144999</v>
      </c>
      <c r="H357" s="34">
        <f>(C357*1.19469026548)+(0)</f>
        <v>23.057522123764002</v>
      </c>
      <c r="I357" s="34">
        <f>(C357*1.16814159292)+(-2)</f>
        <v>20.545132743356003</v>
      </c>
      <c r="J357" s="34">
        <f>(C357*1.1238938053)+(-3.9)</f>
        <v>17.791150442290004</v>
      </c>
      <c r="K357" s="34">
        <f>(C357*1.07964601769)+(-5.6)</f>
        <v>15.237168141417003</v>
      </c>
    </row>
    <row r="358" spans="1:11" s="21" customFormat="1" ht="19.95" customHeight="1" x14ac:dyDescent="0.25">
      <c r="A358" s="13" t="str">
        <f>"40182"</f>
        <v>40182</v>
      </c>
      <c r="B358" s="14" t="s">
        <v>708</v>
      </c>
      <c r="C358" s="13" t="str">
        <f>"17.3"</f>
        <v>17.3</v>
      </c>
      <c r="D358" s="32">
        <f>(C358*1.24778761061)+(0.4)</f>
        <v>21.986725663553003</v>
      </c>
      <c r="E358" s="33">
        <f>(C358*1.16814159292)+(-1)</f>
        <v>19.208849557516004</v>
      </c>
      <c r="F358" s="33">
        <f>(C358*1.1238938053)+(-4.4)</f>
        <v>15.043362831690002</v>
      </c>
      <c r="G358" s="33">
        <f>(C358*1.06194690265)+(-5.9)</f>
        <v>12.471681415845</v>
      </c>
      <c r="H358" s="34">
        <f>(C358*1.19469026548)+(0)</f>
        <v>20.668141592804002</v>
      </c>
      <c r="I358" s="34">
        <f>(C358*1.16814159292)+(-2)</f>
        <v>18.208849557516004</v>
      </c>
      <c r="J358" s="34">
        <f>(C358*1.1238938053)+(-3.9)</f>
        <v>15.543362831690002</v>
      </c>
      <c r="K358" s="34">
        <f>(C358*1.07964601769)+(-5.6)</f>
        <v>13.077876106037001</v>
      </c>
    </row>
    <row r="359" spans="1:11" s="21" customFormat="1" ht="19.95" customHeight="1" x14ac:dyDescent="0.25">
      <c r="A359" s="13" t="str">
        <f>"71335"</f>
        <v>71335</v>
      </c>
      <c r="B359" s="14" t="s">
        <v>709</v>
      </c>
      <c r="C359" s="13" t="str">
        <f>"41.8"</f>
        <v>41.8</v>
      </c>
      <c r="D359" s="32">
        <f>(C359*1.24778761061)+(0.4)</f>
        <v>52.557522123497996</v>
      </c>
      <c r="E359" s="33">
        <f>(C359*1.16814159292)+(-1)</f>
        <v>47.828318584055999</v>
      </c>
      <c r="F359" s="33">
        <f>(C359*1.1238938053)+(-4.4)</f>
        <v>42.57876106154</v>
      </c>
      <c r="G359" s="33">
        <f>(C359*1.06194690265)+(-5.9)</f>
        <v>38.489380530769992</v>
      </c>
      <c r="H359" s="34">
        <f>(C359*1.19469026548)+(0)</f>
        <v>49.938053097064</v>
      </c>
      <c r="I359" s="34">
        <f>(C359*1.16814159292)+(-2)</f>
        <v>46.828318584055999</v>
      </c>
      <c r="J359" s="34">
        <f>(C359*1.1238938053)+(-3.9)</f>
        <v>43.07876106154</v>
      </c>
      <c r="K359" s="34">
        <f>(C359*1.07964601769)+(-5.6)</f>
        <v>39.529203539441994</v>
      </c>
    </row>
    <row r="360" spans="1:11" s="21" customFormat="1" ht="19.95" customHeight="1" x14ac:dyDescent="0.25">
      <c r="A360" s="13" t="str">
        <f>"6269"</f>
        <v>6269</v>
      </c>
      <c r="B360" s="14" t="s">
        <v>710</v>
      </c>
      <c r="C360" s="13" t="str">
        <f>"28.6"</f>
        <v>28.6</v>
      </c>
      <c r="D360" s="32">
        <f>(C360*1.24778761061)+(0.4)</f>
        <v>36.086725663446003</v>
      </c>
      <c r="E360" s="33">
        <f>(C360*1.16814159292)+(-1)</f>
        <v>32.408849557512006</v>
      </c>
      <c r="F360" s="33">
        <f>(C360*1.1238938053)+(-4.4)</f>
        <v>27.743362831580008</v>
      </c>
      <c r="G360" s="33">
        <f>(C360*1.06194690265)+(-5.9)</f>
        <v>24.471681415790002</v>
      </c>
      <c r="H360" s="34">
        <f>(C360*1.19469026548)+(0)</f>
        <v>34.168141592727999</v>
      </c>
      <c r="I360" s="34">
        <f>(C360*1.16814159292)+(-2)</f>
        <v>31.408849557512006</v>
      </c>
      <c r="J360" s="34">
        <f>(C360*1.1238938053)+(-3.9)</f>
        <v>28.243362831580008</v>
      </c>
      <c r="K360" s="34">
        <f>(C360*1.07964601769)+(-5.6)</f>
        <v>25.277876105934006</v>
      </c>
    </row>
    <row r="361" spans="1:11" s="21" customFormat="1" ht="19.95" customHeight="1" x14ac:dyDescent="0.25">
      <c r="A361" s="13" t="str">
        <f>"1008799"</f>
        <v>1008799</v>
      </c>
      <c r="B361" s="14" t="s">
        <v>711</v>
      </c>
      <c r="C361" s="13" t="str">
        <f>"25.0"</f>
        <v>25.0</v>
      </c>
      <c r="D361" s="32">
        <f>(C361*1.24778761061)+(0.4)</f>
        <v>31.594690265250001</v>
      </c>
      <c r="E361" s="33">
        <f>(C361*1.16814159292)+(-1)</f>
        <v>28.203539823000003</v>
      </c>
      <c r="F361" s="33">
        <f>(C361*1.1238938053)+(-4.4)</f>
        <v>23.697345132500004</v>
      </c>
      <c r="G361" s="33">
        <f>(C361*1.06194690265)+(-5.9)</f>
        <v>20.648672566249999</v>
      </c>
      <c r="H361" s="34">
        <f>(C361*1.19469026548)+(0)</f>
        <v>29.867256637000001</v>
      </c>
      <c r="I361" s="34">
        <f>(C361*1.16814159292)+(-2)</f>
        <v>27.203539823000003</v>
      </c>
      <c r="J361" s="34">
        <f>(C361*1.1238938053)+(-3.9)</f>
        <v>24.197345132500004</v>
      </c>
      <c r="K361" s="34">
        <f>(C361*1.07964601769)+(-5.6)</f>
        <v>21.391150442250002</v>
      </c>
    </row>
    <row r="362" spans="1:11" s="21" customFormat="1" ht="19.95" customHeight="1" x14ac:dyDescent="0.25">
      <c r="A362" s="13" t="str">
        <f>"15856"</f>
        <v>15856</v>
      </c>
      <c r="B362" s="14" t="s">
        <v>712</v>
      </c>
      <c r="C362" s="13" t="str">
        <f>"20.2"</f>
        <v>20.2</v>
      </c>
      <c r="D362" s="32">
        <f>(C362*1.24778761061)+(0.4)</f>
        <v>25.605309734321999</v>
      </c>
      <c r="E362" s="33">
        <f>(C362*1.16814159292)+(-1)</f>
        <v>22.596460176983999</v>
      </c>
      <c r="F362" s="33">
        <f>(C362*1.1238938053)+(-4.4)</f>
        <v>18.302654867059999</v>
      </c>
      <c r="G362" s="33">
        <f>(C362*1.06194690265)+(-5.9)</f>
        <v>15.551327433529996</v>
      </c>
      <c r="H362" s="34">
        <f>(C362*1.19469026548)+(0)</f>
        <v>24.132743362696001</v>
      </c>
      <c r="I362" s="34">
        <f>(C362*1.16814159292)+(-2)</f>
        <v>21.596460176983999</v>
      </c>
      <c r="J362" s="34">
        <f>(C362*1.1238938053)+(-3.9)</f>
        <v>18.802654867060003</v>
      </c>
      <c r="K362" s="34">
        <f>(C362*1.07964601769)+(-5.6)</f>
        <v>16.208849557337999</v>
      </c>
    </row>
    <row r="363" spans="1:11" s="21" customFormat="1" ht="19.95" customHeight="1" x14ac:dyDescent="0.25">
      <c r="A363" s="13" t="str">
        <f>"15859"</f>
        <v>15859</v>
      </c>
      <c r="B363" s="14" t="s">
        <v>713</v>
      </c>
      <c r="C363" s="13" t="str">
        <f>"15.8"</f>
        <v>15.8</v>
      </c>
      <c r="D363" s="32">
        <f>(C363*1.24778761061)+(0.4)</f>
        <v>20.115044247638</v>
      </c>
      <c r="E363" s="33">
        <f>(C363*1.16814159292)+(-1)</f>
        <v>17.456637168136002</v>
      </c>
      <c r="F363" s="33">
        <f>(C363*1.1238938053)+(-4.4)</f>
        <v>13.357522123740003</v>
      </c>
      <c r="G363" s="33">
        <f>(C363*1.06194690265)+(-5.9)</f>
        <v>10.87876106187</v>
      </c>
      <c r="H363" s="34">
        <f>(C363*1.19469026548)+(0)</f>
        <v>18.876106194584001</v>
      </c>
      <c r="I363" s="34">
        <f>(C363*1.16814159292)+(-2)</f>
        <v>16.456637168136002</v>
      </c>
      <c r="J363" s="34">
        <f>(C363*1.1238938053)+(-3.9)</f>
        <v>13.857522123740003</v>
      </c>
      <c r="K363" s="34">
        <f>(C363*1.07964601769)+(-5.6)</f>
        <v>11.458407079502001</v>
      </c>
    </row>
    <row r="364" spans="1:11" s="21" customFormat="1" ht="19.95" customHeight="1" x14ac:dyDescent="0.25">
      <c r="A364" s="13" t="str">
        <f>"15861"</f>
        <v>15861</v>
      </c>
      <c r="B364" s="14" t="s">
        <v>714</v>
      </c>
      <c r="C364" s="13" t="str">
        <f>"36.2"</f>
        <v>36.2</v>
      </c>
      <c r="D364" s="32">
        <f>(C364*1.24778761061)+(0.4)</f>
        <v>45.569911504082008</v>
      </c>
      <c r="E364" s="33">
        <f>(C364*1.16814159292)+(-1)</f>
        <v>41.286725663704004</v>
      </c>
      <c r="F364" s="33">
        <f>(C364*1.1238938053)+(-4.4)</f>
        <v>36.284955751860004</v>
      </c>
      <c r="G364" s="33">
        <f>(C364*1.06194690265)+(-5.9)</f>
        <v>32.542477875930004</v>
      </c>
      <c r="H364" s="34">
        <f>(C364*1.19469026548)+(0)</f>
        <v>43.247787610376001</v>
      </c>
      <c r="I364" s="34">
        <f>(C364*1.16814159292)+(-2)</f>
        <v>40.286725663704004</v>
      </c>
      <c r="J364" s="34">
        <f>(C364*1.1238938053)+(-3.9)</f>
        <v>36.784955751860004</v>
      </c>
      <c r="K364" s="34">
        <f>(C364*1.07964601769)+(-5.6)</f>
        <v>33.483185840377999</v>
      </c>
    </row>
    <row r="365" spans="1:11" s="21" customFormat="1" ht="19.95" customHeight="1" x14ac:dyDescent="0.25">
      <c r="A365" s="13" t="str">
        <f>"67597"</f>
        <v>67597</v>
      </c>
      <c r="B365" s="14" t="s">
        <v>715</v>
      </c>
      <c r="C365" s="13" t="str">
        <f>"18.7"</f>
        <v>18.7</v>
      </c>
      <c r="D365" s="32">
        <f>(C365*1.24778761061)+(0.4)</f>
        <v>23.733628318407</v>
      </c>
      <c r="E365" s="33">
        <f>(C365*1.16814159292)+(-1)</f>
        <v>20.844247787604001</v>
      </c>
      <c r="F365" s="33">
        <f>(C365*1.1238938053)+(-4.4)</f>
        <v>16.61681415911</v>
      </c>
      <c r="G365" s="33">
        <f>(C365*1.06194690265)+(-5.9)</f>
        <v>13.958407079554997</v>
      </c>
      <c r="H365" s="34">
        <f>(C365*1.19469026548)+(0)</f>
        <v>22.340707964476</v>
      </c>
      <c r="I365" s="34">
        <f>(C365*1.16814159292)+(-2)</f>
        <v>19.844247787604001</v>
      </c>
      <c r="J365" s="34">
        <f>(C365*1.1238938053)+(-3.9)</f>
        <v>17.116814159110003</v>
      </c>
      <c r="K365" s="34">
        <f>(C365*1.07964601769)+(-5.6)</f>
        <v>14.589380530803</v>
      </c>
    </row>
    <row r="366" spans="1:11" s="21" customFormat="1" ht="19.95" customHeight="1" x14ac:dyDescent="0.25">
      <c r="A366" s="13" t="str">
        <f>"80520"</f>
        <v>80520</v>
      </c>
      <c r="B366" s="14" t="s">
        <v>716</v>
      </c>
      <c r="C366" s="13" t="str">
        <f>"16.7"</f>
        <v>16.7</v>
      </c>
      <c r="D366" s="32">
        <f>(C366*1.24778761061)+(0.4)</f>
        <v>21.238053097186999</v>
      </c>
      <c r="E366" s="33">
        <f>(C366*1.16814159292)+(-1)</f>
        <v>18.507964601764002</v>
      </c>
      <c r="F366" s="33">
        <f>(C366*1.1238938053)+(-4.4)</f>
        <v>14.369026548509998</v>
      </c>
      <c r="G366" s="33">
        <f>(C366*1.06194690265)+(-5.9)</f>
        <v>11.834513274254997</v>
      </c>
      <c r="H366" s="34">
        <f>(C366*1.19469026548)+(0)</f>
        <v>19.951327433515999</v>
      </c>
      <c r="I366" s="34">
        <f>(C366*1.16814159292)+(-2)</f>
        <v>17.507964601764002</v>
      </c>
      <c r="J366" s="34">
        <f>(C366*1.1238938053)+(-3.9)</f>
        <v>14.869026548509998</v>
      </c>
      <c r="K366" s="34">
        <f>(C366*1.07964601769)+(-5.6)</f>
        <v>12.430088495422998</v>
      </c>
    </row>
    <row r="367" spans="1:11" s="21" customFormat="1" ht="19.95" customHeight="1" x14ac:dyDescent="0.25">
      <c r="A367" s="13" t="str">
        <f>"1010444"</f>
        <v>1010444</v>
      </c>
      <c r="B367" s="14" t="s">
        <v>717</v>
      </c>
      <c r="C367" s="13" t="str">
        <f>"34.3"</f>
        <v>34.3</v>
      </c>
      <c r="D367" s="32">
        <f>(C367*1.24778761061)+(0.4)</f>
        <v>43.199115043923001</v>
      </c>
      <c r="E367" s="33">
        <f>(C367*1.16814159292)+(-1)</f>
        <v>39.067256637155999</v>
      </c>
      <c r="F367" s="33">
        <f>(C367*1.1238938053)+(-4.4)</f>
        <v>34.149557521790001</v>
      </c>
      <c r="G367" s="33">
        <f>(C367*1.06194690265)+(-5.9)</f>
        <v>30.524778760894996</v>
      </c>
      <c r="H367" s="34">
        <f>(C367*1.19469026548)+(0)</f>
        <v>40.977876105964</v>
      </c>
      <c r="I367" s="34">
        <f>(C367*1.16814159292)+(-2)</f>
        <v>38.067256637155999</v>
      </c>
      <c r="J367" s="34">
        <f>(C367*1.1238938053)+(-3.9)</f>
        <v>34.649557521790001</v>
      </c>
      <c r="K367" s="34">
        <f>(C367*1.07964601769)+(-5.6)</f>
        <v>31.431858406766999</v>
      </c>
    </row>
    <row r="368" spans="1:11" s="21" customFormat="1" ht="19.95" customHeight="1" x14ac:dyDescent="0.25">
      <c r="A368" s="13" t="str">
        <f>"15866"</f>
        <v>15866</v>
      </c>
      <c r="B368" s="14" t="s">
        <v>718</v>
      </c>
      <c r="C368" s="13" t="str">
        <f>"25.5"</f>
        <v>25.5</v>
      </c>
      <c r="D368" s="32">
        <f>(C368*1.24778761061)+(0.4)</f>
        <v>32.218584070555004</v>
      </c>
      <c r="E368" s="33">
        <f>(C368*1.16814159292)+(-1)</f>
        <v>28.787610619460001</v>
      </c>
      <c r="F368" s="33">
        <f>(C368*1.1238938053)+(-4.4)</f>
        <v>24.259292035150004</v>
      </c>
      <c r="G368" s="33">
        <f>(C368*1.06194690265)+(-5.9)</f>
        <v>21.179646017574996</v>
      </c>
      <c r="H368" s="34">
        <f>(C368*1.19469026548)+(0)</f>
        <v>30.46460176974</v>
      </c>
      <c r="I368" s="34">
        <f>(C368*1.16814159292)+(-2)</f>
        <v>27.787610619460001</v>
      </c>
      <c r="J368" s="34">
        <f>(C368*1.1238938053)+(-3.9)</f>
        <v>24.759292035150004</v>
      </c>
      <c r="K368" s="34">
        <f>(C368*1.07964601769)+(-5.6)</f>
        <v>21.930973451094999</v>
      </c>
    </row>
    <row r="369" spans="1:11" s="21" customFormat="1" ht="19.95" customHeight="1" x14ac:dyDescent="0.25">
      <c r="A369" s="13" t="str">
        <f>"73672"</f>
        <v>73672</v>
      </c>
      <c r="B369" s="14" t="s">
        <v>719</v>
      </c>
      <c r="C369" s="13" t="str">
        <f>"13.6"</f>
        <v>13.6</v>
      </c>
      <c r="D369" s="32">
        <f>(C369*1.24778761061)+(0.4)</f>
        <v>17.369911504295999</v>
      </c>
      <c r="E369" s="33">
        <f>(C369*1.16814159292)+(-1)</f>
        <v>14.886725663712001</v>
      </c>
      <c r="F369" s="33">
        <f>(C369*1.1238938053)+(-4.4)</f>
        <v>10.88495575208</v>
      </c>
      <c r="G369" s="33">
        <f>(C369*1.06194690265)+(-5.9)</f>
        <v>8.5424778760399978</v>
      </c>
      <c r="H369" s="34">
        <f>(C369*1.19469026548)+(0)</f>
        <v>16.247787610528</v>
      </c>
      <c r="I369" s="34">
        <f>(C369*1.16814159292)+(-2)</f>
        <v>13.886725663712001</v>
      </c>
      <c r="J369" s="34">
        <f>(C369*1.1238938053)+(-3.9)</f>
        <v>11.38495575208</v>
      </c>
      <c r="K369" s="34">
        <f>(C369*1.07964601769)+(-5.6)</f>
        <v>9.0831858405840009</v>
      </c>
    </row>
    <row r="370" spans="1:11" s="21" customFormat="1" ht="19.95" customHeight="1" x14ac:dyDescent="0.25">
      <c r="A370" s="13" t="str">
        <f>"72344"</f>
        <v>72344</v>
      </c>
      <c r="B370" s="14" t="s">
        <v>720</v>
      </c>
      <c r="C370" s="13" t="str">
        <f>"18.7"</f>
        <v>18.7</v>
      </c>
      <c r="D370" s="32">
        <f>(C370*1.24778761061)+(0.4)</f>
        <v>23.733628318407</v>
      </c>
      <c r="E370" s="33">
        <f>(C370*1.16814159292)+(-1)</f>
        <v>20.844247787604001</v>
      </c>
      <c r="F370" s="33">
        <f>(C370*1.1238938053)+(-4.4)</f>
        <v>16.61681415911</v>
      </c>
      <c r="G370" s="33">
        <f>(C370*1.06194690265)+(-5.9)</f>
        <v>13.958407079554997</v>
      </c>
      <c r="H370" s="34">
        <f>(C370*1.19469026548)+(0)</f>
        <v>22.340707964476</v>
      </c>
      <c r="I370" s="34">
        <f>(C370*1.16814159292)+(-2)</f>
        <v>19.844247787604001</v>
      </c>
      <c r="J370" s="34">
        <f>(C370*1.1238938053)+(-3.9)</f>
        <v>17.116814159110003</v>
      </c>
      <c r="K370" s="34">
        <f>(C370*1.07964601769)+(-5.6)</f>
        <v>14.589380530803</v>
      </c>
    </row>
    <row r="371" spans="1:11" s="21" customFormat="1" ht="19.95" customHeight="1" x14ac:dyDescent="0.25">
      <c r="A371" s="13" t="str">
        <f>"15868"</f>
        <v>15868</v>
      </c>
      <c r="B371" s="14" t="s">
        <v>721</v>
      </c>
      <c r="C371" s="13" t="str">
        <f>"28.8"</f>
        <v>28.8</v>
      </c>
      <c r="D371" s="32">
        <f>(C371*1.24778761061)+(0.4)</f>
        <v>36.336283185568</v>
      </c>
      <c r="E371" s="33">
        <f>(C371*1.16814159292)+(-1)</f>
        <v>32.642477876096002</v>
      </c>
      <c r="F371" s="33">
        <f>(C371*1.1238938053)+(-4.4)</f>
        <v>27.968141592640002</v>
      </c>
      <c r="G371" s="33">
        <f>(C371*1.06194690265)+(-5.9)</f>
        <v>24.68407079632</v>
      </c>
      <c r="H371" s="34">
        <f>(C371*1.19469026548)+(0)</f>
        <v>34.407079645823998</v>
      </c>
      <c r="I371" s="34">
        <f>(C371*1.16814159292)+(-2)</f>
        <v>31.642477876096002</v>
      </c>
      <c r="J371" s="34">
        <f>(C371*1.1238938053)+(-3.9)</f>
        <v>28.468141592640002</v>
      </c>
      <c r="K371" s="34">
        <f>(C371*1.07964601769)+(-5.6)</f>
        <v>25.493805309472002</v>
      </c>
    </row>
    <row r="372" spans="1:11" s="21" customFormat="1" ht="19.95" customHeight="1" x14ac:dyDescent="0.25">
      <c r="A372" s="13" t="str">
        <f>"72409"</f>
        <v>72409</v>
      </c>
      <c r="B372" s="14" t="s">
        <v>722</v>
      </c>
      <c r="C372" s="13" t="str">
        <f>"16.1"</f>
        <v>16.1</v>
      </c>
      <c r="D372" s="32">
        <f>(C372*1.24778761061)+(0.4)</f>
        <v>20.489380530821002</v>
      </c>
      <c r="E372" s="33">
        <f>(C372*1.16814159292)+(-1)</f>
        <v>17.807079646012003</v>
      </c>
      <c r="F372" s="33">
        <f>(C372*1.1238938053)+(-4.4)</f>
        <v>13.694690265330001</v>
      </c>
      <c r="G372" s="33">
        <f>(C372*1.06194690265)+(-5.9)</f>
        <v>11.197345132665001</v>
      </c>
      <c r="H372" s="34">
        <f>(C372*1.19469026548)+(0)</f>
        <v>19.234513274228004</v>
      </c>
      <c r="I372" s="34">
        <f>(C372*1.16814159292)+(-2)</f>
        <v>16.807079646012003</v>
      </c>
      <c r="J372" s="34">
        <f>(C372*1.1238938053)+(-3.9)</f>
        <v>14.194690265330001</v>
      </c>
      <c r="K372" s="34">
        <f>(C372*1.07964601769)+(-5.6)</f>
        <v>11.782300884809002</v>
      </c>
    </row>
    <row r="373" spans="1:11" s="21" customFormat="1" ht="19.95" customHeight="1" x14ac:dyDescent="0.25">
      <c r="A373" s="13" t="str">
        <f>"15871"</f>
        <v>15871</v>
      </c>
      <c r="B373" s="14" t="s">
        <v>723</v>
      </c>
      <c r="C373" s="13" t="str">
        <f>"26.6"</f>
        <v>26.6</v>
      </c>
      <c r="D373" s="32">
        <f>(C373*1.24778761061)+(0.4)</f>
        <v>33.591150442226002</v>
      </c>
      <c r="E373" s="33">
        <f>(C373*1.16814159292)+(-1)</f>
        <v>30.072566371672004</v>
      </c>
      <c r="F373" s="33">
        <f>(C373*1.1238938053)+(-4.4)</f>
        <v>25.495575220980001</v>
      </c>
      <c r="G373" s="33">
        <f>(C373*1.06194690265)+(-5.9)</f>
        <v>22.347787610490002</v>
      </c>
      <c r="H373" s="34">
        <f>(C373*1.19469026548)+(0)</f>
        <v>31.778761061768002</v>
      </c>
      <c r="I373" s="34">
        <f>(C373*1.16814159292)+(-2)</f>
        <v>29.072566371672004</v>
      </c>
      <c r="J373" s="34">
        <f>(C373*1.1238938053)+(-3.9)</f>
        <v>25.995575220980005</v>
      </c>
      <c r="K373" s="34">
        <f>(C373*1.07964601769)+(-5.6)</f>
        <v>23.118584070554</v>
      </c>
    </row>
    <row r="374" spans="1:11" s="21" customFormat="1" ht="19.95" customHeight="1" x14ac:dyDescent="0.25">
      <c r="A374" s="13" t="str">
        <f>"15872"</f>
        <v>15872</v>
      </c>
      <c r="B374" s="14" t="s">
        <v>724</v>
      </c>
      <c r="C374" s="13" t="str">
        <f>"23.4"</f>
        <v>23.4</v>
      </c>
      <c r="D374" s="32">
        <f>(C374*1.24778761061)+(0.4)</f>
        <v>29.598230088274001</v>
      </c>
      <c r="E374" s="33">
        <f>(C374*1.16814159292)+(-1)</f>
        <v>26.334513274328</v>
      </c>
      <c r="F374" s="33">
        <f>(C374*1.1238938053)+(-4.4)</f>
        <v>21.89911504402</v>
      </c>
      <c r="G374" s="33">
        <f>(C374*1.06194690265)+(-5.9)</f>
        <v>18.949557522009997</v>
      </c>
      <c r="H374" s="34">
        <f>(C374*1.19469026548)+(0)</f>
        <v>27.955752212231999</v>
      </c>
      <c r="I374" s="34">
        <f>(C374*1.16814159292)+(-2)</f>
        <v>25.334513274328</v>
      </c>
      <c r="J374" s="34">
        <f>(C374*1.1238938053)+(-3.9)</f>
        <v>22.39911504402</v>
      </c>
      <c r="K374" s="34">
        <f>(C374*1.07964601769)+(-5.6)</f>
        <v>19.663716813945996</v>
      </c>
    </row>
    <row r="375" spans="1:11" s="21" customFormat="1" ht="19.95" customHeight="1" x14ac:dyDescent="0.25">
      <c r="A375" s="13" t="str">
        <f>"15874"</f>
        <v>15874</v>
      </c>
      <c r="B375" s="14" t="s">
        <v>725</v>
      </c>
      <c r="C375" s="13" t="str">
        <f>"23.0"</f>
        <v>23.0</v>
      </c>
      <c r="D375" s="32">
        <f>(C375*1.24778761061)+(0.4)</f>
        <v>29.09911504403</v>
      </c>
      <c r="E375" s="33">
        <f>(C375*1.16814159292)+(-1)</f>
        <v>25.867256637160001</v>
      </c>
      <c r="F375" s="33">
        <f>(C375*1.1238938053)+(-4.4)</f>
        <v>21.449557521899997</v>
      </c>
      <c r="G375" s="33">
        <f>(C375*1.06194690265)+(-5.9)</f>
        <v>18.524778760949999</v>
      </c>
      <c r="H375" s="34">
        <f>(C375*1.19469026548)+(0)</f>
        <v>27.47787610604</v>
      </c>
      <c r="I375" s="34">
        <f>(C375*1.16814159292)+(-2)</f>
        <v>24.867256637160001</v>
      </c>
      <c r="J375" s="34">
        <f>(C375*1.1238938053)+(-3.9)</f>
        <v>21.949557521900001</v>
      </c>
      <c r="K375" s="34">
        <f>(C375*1.07964601769)+(-5.6)</f>
        <v>19.231858406870003</v>
      </c>
    </row>
    <row r="376" spans="1:11" s="21" customFormat="1" ht="19.95" customHeight="1" x14ac:dyDescent="0.25">
      <c r="A376" s="13" t="str">
        <f>"1132"</f>
        <v>1132</v>
      </c>
      <c r="B376" s="14" t="s">
        <v>726</v>
      </c>
      <c r="C376" s="13" t="str">
        <f>"14.7"</f>
        <v>14.7</v>
      </c>
      <c r="D376" s="32">
        <f>(C376*1.24778761061)+(0.4)</f>
        <v>18.742477875966998</v>
      </c>
      <c r="E376" s="33">
        <f>(C376*1.16814159292)+(-1)</f>
        <v>16.171681415923999</v>
      </c>
      <c r="F376" s="33">
        <f>(C376*1.1238938053)+(-4.4)</f>
        <v>12.121238937909999</v>
      </c>
      <c r="G376" s="33">
        <f>(C376*1.06194690265)+(-5.9)</f>
        <v>9.7106194689549969</v>
      </c>
      <c r="H376" s="34">
        <f>(C376*1.19469026548)+(0)</f>
        <v>17.561946902555999</v>
      </c>
      <c r="I376" s="34">
        <f>(C376*1.16814159292)+(-2)</f>
        <v>15.171681415923999</v>
      </c>
      <c r="J376" s="34">
        <f>(C376*1.1238938053)+(-3.9)</f>
        <v>12.621238937909999</v>
      </c>
      <c r="K376" s="34">
        <f>(C376*1.07964601769)+(-5.6)</f>
        <v>10.270796460043</v>
      </c>
    </row>
    <row r="377" spans="1:11" s="21" customFormat="1" ht="19.95" customHeight="1" x14ac:dyDescent="0.25">
      <c r="A377" s="13" t="str">
        <f>"15877"</f>
        <v>15877</v>
      </c>
      <c r="B377" s="14" t="s">
        <v>727</v>
      </c>
      <c r="C377" s="13" t="str">
        <f>"23.7"</f>
        <v>23.7</v>
      </c>
      <c r="D377" s="32">
        <f>(C377*1.24778761061)+(0.4)</f>
        <v>29.972566371456999</v>
      </c>
      <c r="E377" s="33">
        <f>(C377*1.16814159292)+(-1)</f>
        <v>26.684955752204001</v>
      </c>
      <c r="F377" s="33">
        <f>(C377*1.1238938053)+(-4.4)</f>
        <v>22.236283185609999</v>
      </c>
      <c r="G377" s="33">
        <f>(C377*1.06194690265)+(-5.9)</f>
        <v>19.268141592804994</v>
      </c>
      <c r="H377" s="34">
        <f>(C377*1.19469026548)+(0)</f>
        <v>28.314159291875999</v>
      </c>
      <c r="I377" s="34">
        <f>(C377*1.16814159292)+(-2)</f>
        <v>25.684955752204001</v>
      </c>
      <c r="J377" s="34">
        <f>(C377*1.1238938053)+(-3.9)</f>
        <v>22.736283185610002</v>
      </c>
      <c r="K377" s="34">
        <f>(C377*1.07964601769)+(-5.6)</f>
        <v>19.987610619252997</v>
      </c>
    </row>
    <row r="378" spans="1:11" s="21" customFormat="1" ht="19.95" customHeight="1" x14ac:dyDescent="0.25">
      <c r="A378" s="13" t="str">
        <f>"1000351"</f>
        <v>1000351</v>
      </c>
      <c r="B378" s="14" t="s">
        <v>728</v>
      </c>
      <c r="C378" s="13" t="str">
        <f>"28.8"</f>
        <v>28.8</v>
      </c>
      <c r="D378" s="32">
        <f>(C378*1.24778761061)+(0.4)</f>
        <v>36.336283185568</v>
      </c>
      <c r="E378" s="33">
        <f>(C378*1.16814159292)+(-1)</f>
        <v>32.642477876096002</v>
      </c>
      <c r="F378" s="33">
        <f>(C378*1.1238938053)+(-4.4)</f>
        <v>27.968141592640002</v>
      </c>
      <c r="G378" s="33">
        <f>(C378*1.06194690265)+(-5.9)</f>
        <v>24.68407079632</v>
      </c>
      <c r="H378" s="34">
        <f>(C378*1.19469026548)+(0)</f>
        <v>34.407079645823998</v>
      </c>
      <c r="I378" s="34">
        <f>(C378*1.16814159292)+(-2)</f>
        <v>31.642477876096002</v>
      </c>
      <c r="J378" s="34">
        <f>(C378*1.1238938053)+(-3.9)</f>
        <v>28.468141592640002</v>
      </c>
      <c r="K378" s="34">
        <f>(C378*1.07964601769)+(-5.6)</f>
        <v>25.493805309472002</v>
      </c>
    </row>
    <row r="379" spans="1:11" s="21" customFormat="1" ht="19.95" customHeight="1" x14ac:dyDescent="0.25">
      <c r="A379" s="13" t="str">
        <f>"15879"</f>
        <v>15879</v>
      </c>
      <c r="B379" s="14" t="s">
        <v>729</v>
      </c>
      <c r="C379" s="13" t="str">
        <f>"18.1"</f>
        <v>18.1</v>
      </c>
      <c r="D379" s="32">
        <f>(C379*1.24778761061)+(0.4)</f>
        <v>22.984955752041003</v>
      </c>
      <c r="E379" s="33">
        <f>(C379*1.16814159292)+(-1)</f>
        <v>20.143362831852002</v>
      </c>
      <c r="F379" s="33">
        <f>(C379*1.1238938053)+(-4.4)</f>
        <v>15.942477875930001</v>
      </c>
      <c r="G379" s="33">
        <f>(C379*1.06194690265)+(-5.9)</f>
        <v>13.321238937965001</v>
      </c>
      <c r="H379" s="34">
        <f>(C379*1.19469026548)+(0)</f>
        <v>21.623893805188001</v>
      </c>
      <c r="I379" s="34">
        <f>(C379*1.16814159292)+(-2)</f>
        <v>19.143362831852002</v>
      </c>
      <c r="J379" s="34">
        <f>(C379*1.1238938053)+(-3.9)</f>
        <v>16.442477875930003</v>
      </c>
      <c r="K379" s="34">
        <f>(C379*1.07964601769)+(-5.6)</f>
        <v>13.941592920189001</v>
      </c>
    </row>
    <row r="380" spans="1:11" s="21" customFormat="1" ht="19.95" customHeight="1" x14ac:dyDescent="0.25">
      <c r="A380" s="13" t="str">
        <f>"15886"</f>
        <v>15886</v>
      </c>
      <c r="B380" s="14" t="s">
        <v>730</v>
      </c>
      <c r="C380" s="13" t="str">
        <f>"25.1"</f>
        <v>25.1</v>
      </c>
      <c r="D380" s="32">
        <f>(C380*1.24778761061)+(0.4)</f>
        <v>31.719469026311003</v>
      </c>
      <c r="E380" s="33">
        <f>(C380*1.16814159292)+(-1)</f>
        <v>28.320353982292005</v>
      </c>
      <c r="F380" s="33">
        <f>(C380*1.1238938053)+(-4.4)</f>
        <v>23.809734513030001</v>
      </c>
      <c r="G380" s="33">
        <f>(C380*1.06194690265)+(-5.9)</f>
        <v>20.754867256514999</v>
      </c>
      <c r="H380" s="34">
        <f>(C380*1.19469026548)+(0)</f>
        <v>29.986725663548</v>
      </c>
      <c r="I380" s="34">
        <f>(C380*1.16814159292)+(-2)</f>
        <v>27.320353982292005</v>
      </c>
      <c r="J380" s="34">
        <f>(C380*1.1238938053)+(-3.9)</f>
        <v>24.309734513030005</v>
      </c>
      <c r="K380" s="34">
        <f>(C380*1.07964601769)+(-5.6)</f>
        <v>21.499115044019</v>
      </c>
    </row>
    <row r="381" spans="1:11" s="21" customFormat="1" ht="19.95" customHeight="1" x14ac:dyDescent="0.25">
      <c r="A381" s="13" t="str">
        <f>"15889"</f>
        <v>15889</v>
      </c>
      <c r="B381" s="14" t="s">
        <v>731</v>
      </c>
      <c r="C381" s="13" t="str">
        <f>"16.8"</f>
        <v>16.8</v>
      </c>
      <c r="D381" s="32">
        <f>(C381*1.24778761061)+(0.4)</f>
        <v>21.362831858248001</v>
      </c>
      <c r="E381" s="33">
        <f>(C381*1.16814159292)+(-1)</f>
        <v>18.624778761056003</v>
      </c>
      <c r="F381" s="33">
        <f>(C381*1.1238938053)+(-4.4)</f>
        <v>14.481415929040002</v>
      </c>
      <c r="G381" s="33">
        <f>(C381*1.06194690265)+(-5.9)</f>
        <v>11.94070796452</v>
      </c>
      <c r="H381" s="34">
        <f>(C381*1.19469026548)+(0)</f>
        <v>20.070796460064003</v>
      </c>
      <c r="I381" s="34">
        <f>(C381*1.16814159292)+(-2)</f>
        <v>17.624778761056003</v>
      </c>
      <c r="J381" s="34">
        <f>(C381*1.1238938053)+(-3.9)</f>
        <v>14.981415929040002</v>
      </c>
      <c r="K381" s="34">
        <f>(C381*1.07964601769)+(-5.6)</f>
        <v>12.538053097192</v>
      </c>
    </row>
    <row r="382" spans="1:11" s="21" customFormat="1" ht="19.95" customHeight="1" x14ac:dyDescent="0.25">
      <c r="A382" s="13" t="str">
        <f>"15888"</f>
        <v>15888</v>
      </c>
      <c r="B382" s="14" t="s">
        <v>732</v>
      </c>
      <c r="C382" s="13" t="str">
        <f>"22.5"</f>
        <v>22.5</v>
      </c>
      <c r="D382" s="32">
        <f>(C382*1.24778761061)+(0.4)</f>
        <v>28.475221238725002</v>
      </c>
      <c r="E382" s="33">
        <f>(C382*1.16814159292)+(-1)</f>
        <v>25.283185840700003</v>
      </c>
      <c r="F382" s="33">
        <f>(C382*1.1238938053)+(-4.4)</f>
        <v>20.887610619249998</v>
      </c>
      <c r="G382" s="33">
        <f>(C382*1.06194690265)+(-5.9)</f>
        <v>17.993805309624996</v>
      </c>
      <c r="H382" s="34">
        <f>(C382*1.19469026548)+(0)</f>
        <v>26.880530973300001</v>
      </c>
      <c r="I382" s="34">
        <f>(C382*1.16814159292)+(-2)</f>
        <v>24.283185840700003</v>
      </c>
      <c r="J382" s="34">
        <f>(C382*1.1238938053)+(-3.9)</f>
        <v>21.387610619250001</v>
      </c>
      <c r="K382" s="34">
        <f>(C382*1.07964601769)+(-5.6)</f>
        <v>18.692035398024998</v>
      </c>
    </row>
    <row r="383" spans="1:11" s="21" customFormat="1" ht="19.95" customHeight="1" x14ac:dyDescent="0.25">
      <c r="A383" s="13" t="str">
        <f>"39616"</f>
        <v>39616</v>
      </c>
      <c r="B383" s="14" t="s">
        <v>733</v>
      </c>
      <c r="C383" s="13" t="str">
        <f>"19.4"</f>
        <v>19.4</v>
      </c>
      <c r="D383" s="32">
        <f>(C383*1.24778761061)+(0.4)</f>
        <v>24.607079645833998</v>
      </c>
      <c r="E383" s="33">
        <f>(C383*1.16814159292)+(-1)</f>
        <v>21.661946902648001</v>
      </c>
      <c r="F383" s="33">
        <f>(C383*1.1238938053)+(-4.4)</f>
        <v>17.403539822820001</v>
      </c>
      <c r="G383" s="33">
        <f>(C383*1.06194690265)+(-5.9)</f>
        <v>14.701769911409995</v>
      </c>
      <c r="H383" s="34">
        <f>(C383*1.19469026548)+(0)</f>
        <v>23.176991150311999</v>
      </c>
      <c r="I383" s="34">
        <f>(C383*1.16814159292)+(-2)</f>
        <v>20.661946902648001</v>
      </c>
      <c r="J383" s="34">
        <f>(C383*1.1238938053)+(-3.9)</f>
        <v>17.903539822820001</v>
      </c>
      <c r="K383" s="34">
        <f>(C383*1.07964601769)+(-5.6)</f>
        <v>15.345132743185998</v>
      </c>
    </row>
    <row r="384" spans="1:11" s="21" customFormat="1" ht="19.95" customHeight="1" x14ac:dyDescent="0.25">
      <c r="A384" s="13" t="str">
        <f>"80982"</f>
        <v>80982</v>
      </c>
      <c r="B384" s="14" t="s">
        <v>734</v>
      </c>
      <c r="C384" s="13" t="str">
        <f>"24.4"</f>
        <v>24.4</v>
      </c>
      <c r="D384" s="32">
        <f>(C384*1.24778761061)+(0.4)</f>
        <v>30.846017698883998</v>
      </c>
      <c r="E384" s="33">
        <f>(C384*1.16814159292)+(-1)</f>
        <v>27.502654867248001</v>
      </c>
      <c r="F384" s="33">
        <f>(C384*1.1238938053)+(-4.4)</f>
        <v>23.02300884932</v>
      </c>
      <c r="G384" s="33">
        <f>(C384*1.06194690265)+(-5.9)</f>
        <v>20.011504424659996</v>
      </c>
      <c r="H384" s="34">
        <f>(C384*1.19469026548)+(0)</f>
        <v>29.150442477711998</v>
      </c>
      <c r="I384" s="34">
        <f>(C384*1.16814159292)+(-2)</f>
        <v>26.502654867248001</v>
      </c>
      <c r="J384" s="34">
        <f>(C384*1.1238938053)+(-3.9)</f>
        <v>23.52300884932</v>
      </c>
      <c r="K384" s="34">
        <f>(C384*1.07964601769)+(-5.6)</f>
        <v>20.743362831635999</v>
      </c>
    </row>
    <row r="385" spans="1:11" s="21" customFormat="1" ht="19.95" customHeight="1" x14ac:dyDescent="0.25">
      <c r="A385" s="13" t="str">
        <f>"15890"</f>
        <v>15890</v>
      </c>
      <c r="B385" s="14" t="s">
        <v>735</v>
      </c>
      <c r="C385" s="13" t="str">
        <f>"15.9"</f>
        <v>15.9</v>
      </c>
      <c r="D385" s="32">
        <f>(C385*1.24778761061)+(0.4)</f>
        <v>20.239823008699002</v>
      </c>
      <c r="E385" s="33">
        <f>(C385*1.16814159292)+(-1)</f>
        <v>17.573451327428003</v>
      </c>
      <c r="F385" s="33">
        <f>(C385*1.1238938053)+(-4.4)</f>
        <v>13.46991150427</v>
      </c>
      <c r="G385" s="33">
        <f>(C385*1.06194690265)+(-5.9)</f>
        <v>10.984955752134999</v>
      </c>
      <c r="H385" s="34">
        <f>(C385*1.19469026548)+(0)</f>
        <v>18.995575221132</v>
      </c>
      <c r="I385" s="34">
        <f>(C385*1.16814159292)+(-2)</f>
        <v>16.573451327428003</v>
      </c>
      <c r="J385" s="34">
        <f>(C385*1.1238938053)+(-3.9)</f>
        <v>13.96991150427</v>
      </c>
      <c r="K385" s="34">
        <f>(C385*1.07964601769)+(-5.6)</f>
        <v>11.566371681271002</v>
      </c>
    </row>
    <row r="386" spans="1:11" s="21" customFormat="1" ht="19.95" customHeight="1" x14ac:dyDescent="0.25">
      <c r="A386" s="13" t="str">
        <f>"71863"</f>
        <v>71863</v>
      </c>
      <c r="B386" s="14" t="s">
        <v>736</v>
      </c>
      <c r="C386" s="13" t="str">
        <f>"23.8000"</f>
        <v>23.8000</v>
      </c>
      <c r="D386" s="32">
        <f>(C386*1.24778761061)+(0.4)</f>
        <v>30.097345132518001</v>
      </c>
      <c r="E386" s="33">
        <f>(C386*1.16814159292)+(-1)</f>
        <v>26.801769911496002</v>
      </c>
      <c r="F386" s="33">
        <f>(C386*1.1238938053)+(-4.4)</f>
        <v>22.348672566140003</v>
      </c>
      <c r="G386" s="33">
        <f>(C386*1.06194690265)+(-5.9)</f>
        <v>19.374336283070001</v>
      </c>
      <c r="H386" s="34">
        <f>(C386*1.19469026548)+(0)</f>
        <v>28.433628318424002</v>
      </c>
      <c r="I386" s="34">
        <f>(C386*1.16814159292)+(-2)</f>
        <v>25.801769911496002</v>
      </c>
      <c r="J386" s="34">
        <f>(C386*1.1238938053)+(-3.9)</f>
        <v>22.848672566140003</v>
      </c>
      <c r="K386" s="34">
        <f>(C386*1.07964601769)+(-5.6)</f>
        <v>20.095575221022003</v>
      </c>
    </row>
    <row r="387" spans="1:11" s="21" customFormat="1" ht="19.95" customHeight="1" x14ac:dyDescent="0.25">
      <c r="A387" s="13" t="str">
        <f>"40093"</f>
        <v>40093</v>
      </c>
      <c r="B387" s="14" t="s">
        <v>737</v>
      </c>
      <c r="C387" s="13" t="str">
        <f>"27.0"</f>
        <v>27.0</v>
      </c>
      <c r="D387" s="32">
        <f>(C387*1.24778761061)+(0.4)</f>
        <v>34.090265486470003</v>
      </c>
      <c r="E387" s="33">
        <f>(C387*1.16814159292)+(-1)</f>
        <v>30.539823008840003</v>
      </c>
      <c r="F387" s="33">
        <f>(C387*1.1238938053)+(-4.4)</f>
        <v>25.945132743100004</v>
      </c>
      <c r="G387" s="33">
        <f>(C387*1.06194690265)+(-5.9)</f>
        <v>22.772566371549999</v>
      </c>
      <c r="H387" s="34">
        <f>(C387*1.19469026548)+(0)</f>
        <v>32.256637167960001</v>
      </c>
      <c r="I387" s="34">
        <f>(C387*1.16814159292)+(-2)</f>
        <v>29.539823008840003</v>
      </c>
      <c r="J387" s="34">
        <f>(C387*1.1238938053)+(-3.9)</f>
        <v>26.445132743100004</v>
      </c>
      <c r="K387" s="34">
        <f>(C387*1.07964601769)+(-5.6)</f>
        <v>23.55044247763</v>
      </c>
    </row>
    <row r="388" spans="1:11" s="21" customFormat="1" ht="19.95" customHeight="1" x14ac:dyDescent="0.25">
      <c r="A388" s="13" t="str">
        <f>"15891"</f>
        <v>15891</v>
      </c>
      <c r="B388" s="14" t="s">
        <v>738</v>
      </c>
      <c r="C388" s="13" t="str">
        <f>"13.4"</f>
        <v>13.4</v>
      </c>
      <c r="D388" s="32">
        <f>(C388*1.24778761061)+(0.4)</f>
        <v>17.120353982173999</v>
      </c>
      <c r="E388" s="33">
        <f>(C388*1.16814159292)+(-1)</f>
        <v>14.653097345128002</v>
      </c>
      <c r="F388" s="33">
        <f>(C388*1.1238938053)+(-4.4)</f>
        <v>10.66017699102</v>
      </c>
      <c r="G388" s="33">
        <f>(C388*1.06194690265)+(-5.9)</f>
        <v>8.3300884955099992</v>
      </c>
      <c r="H388" s="34">
        <f>(C388*1.19469026548)+(0)</f>
        <v>16.008849557432001</v>
      </c>
      <c r="I388" s="34">
        <f>(C388*1.16814159292)+(-2)</f>
        <v>13.653097345128002</v>
      </c>
      <c r="J388" s="34">
        <f>(C388*1.1238938053)+(-3.9)</f>
        <v>11.16017699102</v>
      </c>
      <c r="K388" s="34">
        <f>(C388*1.07964601769)+(-5.6)</f>
        <v>8.8672566370460011</v>
      </c>
    </row>
    <row r="389" spans="1:11" s="21" customFormat="1" ht="19.95" customHeight="1" x14ac:dyDescent="0.25">
      <c r="A389" s="13" t="str">
        <f>"72875"</f>
        <v>72875</v>
      </c>
      <c r="B389" s="14" t="s">
        <v>739</v>
      </c>
      <c r="C389" s="13" t="str">
        <f>"24.4"</f>
        <v>24.4</v>
      </c>
      <c r="D389" s="32">
        <f>(C389*1.24778761061)+(0.4)</f>
        <v>30.846017698883998</v>
      </c>
      <c r="E389" s="33">
        <f>(C389*1.16814159292)+(-1)</f>
        <v>27.502654867248001</v>
      </c>
      <c r="F389" s="33">
        <f>(C389*1.1238938053)+(-4.4)</f>
        <v>23.02300884932</v>
      </c>
      <c r="G389" s="33">
        <f>(C389*1.06194690265)+(-5.9)</f>
        <v>20.011504424659996</v>
      </c>
      <c r="H389" s="34">
        <f>(C389*1.19469026548)+(0)</f>
        <v>29.150442477711998</v>
      </c>
      <c r="I389" s="34">
        <f>(C389*1.16814159292)+(-2)</f>
        <v>26.502654867248001</v>
      </c>
      <c r="J389" s="34">
        <f>(C389*1.1238938053)+(-3.9)</f>
        <v>23.52300884932</v>
      </c>
      <c r="K389" s="34">
        <f>(C389*1.07964601769)+(-5.6)</f>
        <v>20.743362831635999</v>
      </c>
    </row>
    <row r="390" spans="1:11" s="21" customFormat="1" ht="19.95" customHeight="1" x14ac:dyDescent="0.25">
      <c r="A390" s="13" t="str">
        <f>"15895"</f>
        <v>15895</v>
      </c>
      <c r="B390" s="14" t="s">
        <v>740</v>
      </c>
      <c r="C390" s="13" t="str">
        <f>"21.1"</f>
        <v>21.1</v>
      </c>
      <c r="D390" s="32">
        <f>(C390*1.24778761061)+(0.4)</f>
        <v>26.728318583871001</v>
      </c>
      <c r="E390" s="33">
        <f>(C390*1.16814159292)+(-1)</f>
        <v>23.647787610612003</v>
      </c>
      <c r="F390" s="33">
        <f>(C390*1.1238938053)+(-4.4)</f>
        <v>19.314159291830002</v>
      </c>
      <c r="G390" s="33">
        <f>(C390*1.06194690265)+(-5.9)</f>
        <v>16.507079645914999</v>
      </c>
      <c r="H390" s="34">
        <f>(C390*1.19469026548)+(0)</f>
        <v>25.207964601628003</v>
      </c>
      <c r="I390" s="34">
        <f>(C390*1.16814159292)+(-2)</f>
        <v>22.647787610612003</v>
      </c>
      <c r="J390" s="34">
        <f>(C390*1.1238938053)+(-3.9)</f>
        <v>19.814159291830006</v>
      </c>
      <c r="K390" s="34">
        <f>(C390*1.07964601769)+(-5.6)</f>
        <v>17.180530973259003</v>
      </c>
    </row>
    <row r="391" spans="1:11" s="21" customFormat="1" ht="19.95" customHeight="1" x14ac:dyDescent="0.25">
      <c r="A391" s="13" t="str">
        <f>"73501"</f>
        <v>73501</v>
      </c>
      <c r="B391" s="14" t="s">
        <v>741</v>
      </c>
      <c r="C391" s="13" t="str">
        <f>"26.4"</f>
        <v>26.4</v>
      </c>
      <c r="D391" s="32">
        <f>(C391*1.24778761061)+(0.4)</f>
        <v>33.341592920103999</v>
      </c>
      <c r="E391" s="33">
        <f>(C391*1.16814159292)+(-1)</f>
        <v>29.838938053088</v>
      </c>
      <c r="F391" s="33">
        <f>(C391*1.1238938053)+(-4.4)</f>
        <v>25.27079645992</v>
      </c>
      <c r="G391" s="33">
        <f>(C391*1.06194690265)+(-5.9)</f>
        <v>22.135398229959996</v>
      </c>
      <c r="H391" s="34">
        <f>(C391*1.19469026548)+(0)</f>
        <v>31.539823008671998</v>
      </c>
      <c r="I391" s="34">
        <f>(C391*1.16814159292)+(-2)</f>
        <v>28.838938053088</v>
      </c>
      <c r="J391" s="34">
        <f>(C391*1.1238938053)+(-3.9)</f>
        <v>25.77079645992</v>
      </c>
      <c r="K391" s="34">
        <f>(C391*1.07964601769)+(-5.6)</f>
        <v>22.902654867015997</v>
      </c>
    </row>
    <row r="392" spans="1:11" s="21" customFormat="1" ht="19.95" customHeight="1" x14ac:dyDescent="0.25">
      <c r="A392" s="13" t="str">
        <f>"1017098"</f>
        <v>1017098</v>
      </c>
      <c r="B392" s="14" t="s">
        <v>742</v>
      </c>
      <c r="C392" s="13" t="str">
        <f>"24.2"</f>
        <v>24.2</v>
      </c>
      <c r="D392" s="32">
        <f>(C392*1.24778761061)+(0.4)</f>
        <v>30.596460176762001</v>
      </c>
      <c r="E392" s="33">
        <f>(C392*1.16814159292)+(-1)</f>
        <v>27.269026548664002</v>
      </c>
      <c r="F392" s="33">
        <f>(C392*1.1238938053)+(-4.4)</f>
        <v>22.798230088259999</v>
      </c>
      <c r="G392" s="33">
        <f>(C392*1.06194690265)+(-5.9)</f>
        <v>19.799115044129998</v>
      </c>
      <c r="H392" s="34">
        <f>(C392*1.19469026548)+(0)</f>
        <v>28.911504424615998</v>
      </c>
      <c r="I392" s="34">
        <f>(C392*1.16814159292)+(-2)</f>
        <v>26.269026548664002</v>
      </c>
      <c r="J392" s="34">
        <f>(C392*1.1238938053)+(-3.9)</f>
        <v>23.298230088260002</v>
      </c>
      <c r="K392" s="34">
        <f>(C392*1.07964601769)+(-5.6)</f>
        <v>20.527433628098002</v>
      </c>
    </row>
    <row r="393" spans="1:11" s="21" customFormat="1" ht="19.95" customHeight="1" x14ac:dyDescent="0.25">
      <c r="A393" s="13" t="str">
        <f>"15896"</f>
        <v>15896</v>
      </c>
      <c r="B393" s="14" t="s">
        <v>743</v>
      </c>
      <c r="C393" s="13" t="str">
        <f>"41.2"</f>
        <v>41.2</v>
      </c>
      <c r="D393" s="32">
        <f>(C393*1.24778761061)+(0.4)</f>
        <v>51.808849557132007</v>
      </c>
      <c r="E393" s="33">
        <f>(C393*1.16814159292)+(-1)</f>
        <v>47.127433628304004</v>
      </c>
      <c r="F393" s="33">
        <f>(C393*1.1238938053)+(-4.4)</f>
        <v>41.90442477836001</v>
      </c>
      <c r="G393" s="33">
        <f>(C393*1.06194690265)+(-5.9)</f>
        <v>37.852212389180004</v>
      </c>
      <c r="H393" s="34">
        <f>(C393*1.19469026548)+(0)</f>
        <v>49.221238937776</v>
      </c>
      <c r="I393" s="34">
        <f>(C393*1.16814159292)+(-2)</f>
        <v>46.127433628304004</v>
      </c>
      <c r="J393" s="34">
        <f>(C393*1.1238938053)+(-3.9)</f>
        <v>42.40442477836001</v>
      </c>
      <c r="K393" s="34">
        <f>(C393*1.07964601769)+(-5.6)</f>
        <v>38.881415928828005</v>
      </c>
    </row>
    <row r="394" spans="1:11" s="21" customFormat="1" ht="19.95" customHeight="1" x14ac:dyDescent="0.25">
      <c r="A394" s="13" t="str">
        <f>"71631"</f>
        <v>71631</v>
      </c>
      <c r="B394" s="14" t="s">
        <v>744</v>
      </c>
      <c r="C394" s="13" t="str">
        <f>"25.5"</f>
        <v>25.5</v>
      </c>
      <c r="D394" s="32">
        <f>(C394*1.24778761061)+(0.4)</f>
        <v>32.218584070555004</v>
      </c>
      <c r="E394" s="33">
        <f>(C394*1.16814159292)+(-1)</f>
        <v>28.787610619460001</v>
      </c>
      <c r="F394" s="33">
        <f>(C394*1.1238938053)+(-4.4)</f>
        <v>24.259292035150004</v>
      </c>
      <c r="G394" s="33">
        <f>(C394*1.06194690265)+(-5.9)</f>
        <v>21.179646017574996</v>
      </c>
      <c r="H394" s="34">
        <f>(C394*1.19469026548)+(0)</f>
        <v>30.46460176974</v>
      </c>
      <c r="I394" s="34">
        <f>(C394*1.16814159292)+(-2)</f>
        <v>27.787610619460001</v>
      </c>
      <c r="J394" s="34">
        <f>(C394*1.1238938053)+(-3.9)</f>
        <v>24.759292035150004</v>
      </c>
      <c r="K394" s="34">
        <f>(C394*1.07964601769)+(-5.6)</f>
        <v>21.930973451094999</v>
      </c>
    </row>
    <row r="395" spans="1:11" s="21" customFormat="1" ht="19.95" customHeight="1" x14ac:dyDescent="0.25">
      <c r="A395" s="13" t="str">
        <f>"15899"</f>
        <v>15899</v>
      </c>
      <c r="B395" s="14" t="s">
        <v>745</v>
      </c>
      <c r="C395" s="13" t="str">
        <f>"26.4"</f>
        <v>26.4</v>
      </c>
      <c r="D395" s="32">
        <f>(C395*1.24778761061)+(0.4)</f>
        <v>33.341592920103999</v>
      </c>
      <c r="E395" s="33">
        <f>(C395*1.16814159292)+(-1)</f>
        <v>29.838938053088</v>
      </c>
      <c r="F395" s="33">
        <f>(C395*1.1238938053)+(-4.4)</f>
        <v>25.27079645992</v>
      </c>
      <c r="G395" s="33">
        <f>(C395*1.06194690265)+(-5.9)</f>
        <v>22.135398229959996</v>
      </c>
      <c r="H395" s="34">
        <f>(C395*1.19469026548)+(0)</f>
        <v>31.539823008671998</v>
      </c>
      <c r="I395" s="34">
        <f>(C395*1.16814159292)+(-2)</f>
        <v>28.838938053088</v>
      </c>
      <c r="J395" s="34">
        <f>(C395*1.1238938053)+(-3.9)</f>
        <v>25.77079645992</v>
      </c>
      <c r="K395" s="34">
        <f>(C395*1.07964601769)+(-5.6)</f>
        <v>22.902654867015997</v>
      </c>
    </row>
    <row r="396" spans="1:11" s="21" customFormat="1" ht="19.95" customHeight="1" x14ac:dyDescent="0.25">
      <c r="A396" s="13" t="str">
        <f>"70712"</f>
        <v>70712</v>
      </c>
      <c r="B396" s="14" t="s">
        <v>746</v>
      </c>
      <c r="C396" s="13" t="str">
        <f>"19.2"</f>
        <v>19.2</v>
      </c>
      <c r="D396" s="32">
        <f>(C396*1.24778761061)+(0.4)</f>
        <v>24.357522123711998</v>
      </c>
      <c r="E396" s="33">
        <f>(C396*1.16814159292)+(-1)</f>
        <v>21.428318584064002</v>
      </c>
      <c r="F396" s="33">
        <f>(C396*1.1238938053)+(-4.4)</f>
        <v>17.17876106176</v>
      </c>
      <c r="G396" s="33">
        <f>(C396*1.06194690265)+(-5.9)</f>
        <v>14.489380530879997</v>
      </c>
      <c r="H396" s="34">
        <f>(C396*1.19469026548)+(0)</f>
        <v>22.938053097215999</v>
      </c>
      <c r="I396" s="34">
        <f>(C396*1.16814159292)+(-2)</f>
        <v>20.428318584064002</v>
      </c>
      <c r="J396" s="34">
        <f>(C396*1.1238938053)+(-3.9)</f>
        <v>17.678761061760003</v>
      </c>
      <c r="K396" s="34">
        <f>(C396*1.07964601769)+(-5.6)</f>
        <v>15.129203539648001</v>
      </c>
    </row>
    <row r="397" spans="1:11" s="21" customFormat="1" ht="19.95" customHeight="1" x14ac:dyDescent="0.25">
      <c r="A397" s="13" t="str">
        <f>"33315"</f>
        <v>33315</v>
      </c>
      <c r="B397" s="14" t="s">
        <v>747</v>
      </c>
      <c r="C397" s="13" t="str">
        <f>"27.9"</f>
        <v>27.9</v>
      </c>
      <c r="D397" s="32">
        <f>(C397*1.24778761061)+(0.4)</f>
        <v>35.213274336018998</v>
      </c>
      <c r="E397" s="33">
        <f>(C397*1.16814159292)+(-1)</f>
        <v>31.591150442467999</v>
      </c>
      <c r="F397" s="33">
        <f>(C397*1.1238938053)+(-4.4)</f>
        <v>26.956637167869999</v>
      </c>
      <c r="G397" s="33">
        <f>(C397*1.06194690265)+(-5.9)</f>
        <v>23.728318583934993</v>
      </c>
      <c r="H397" s="34">
        <f>(C397*1.19469026548)+(0)</f>
        <v>33.331858406891996</v>
      </c>
      <c r="I397" s="34">
        <f>(C397*1.16814159292)+(-2)</f>
        <v>30.591150442467999</v>
      </c>
      <c r="J397" s="34">
        <f>(C397*1.1238938053)+(-3.9)</f>
        <v>27.456637167869999</v>
      </c>
      <c r="K397" s="34">
        <f>(C397*1.07964601769)+(-5.6)</f>
        <v>24.522123893550997</v>
      </c>
    </row>
    <row r="398" spans="1:11" s="21" customFormat="1" ht="19.95" customHeight="1" x14ac:dyDescent="0.25">
      <c r="A398" s="13" t="str">
        <f>"76079"</f>
        <v>76079</v>
      </c>
      <c r="B398" s="14" t="s">
        <v>748</v>
      </c>
      <c r="C398" s="13" t="str">
        <f>"20.4"</f>
        <v>20.4</v>
      </c>
      <c r="D398" s="32">
        <f>(C398*1.24778761061)+(0.4)</f>
        <v>25.854867256443999</v>
      </c>
      <c r="E398" s="33">
        <f>(C398*1.16814159292)+(-1)</f>
        <v>22.830088495567999</v>
      </c>
      <c r="F398" s="33">
        <f>(C398*1.1238938053)+(-4.4)</f>
        <v>18.527433628120001</v>
      </c>
      <c r="G398" s="33">
        <f>(C398*1.06194690265)+(-5.9)</f>
        <v>15.763716814059995</v>
      </c>
      <c r="H398" s="34">
        <f>(C398*1.19469026548)+(0)</f>
        <v>24.371681415791997</v>
      </c>
      <c r="I398" s="34">
        <f>(C398*1.16814159292)+(-2)</f>
        <v>21.830088495567999</v>
      </c>
      <c r="J398" s="34">
        <f>(C398*1.1238938053)+(-3.9)</f>
        <v>19.027433628120001</v>
      </c>
      <c r="K398" s="34">
        <f>(C398*1.07964601769)+(-5.6)</f>
        <v>16.424778760876002</v>
      </c>
    </row>
    <row r="399" spans="1:11" s="21" customFormat="1" ht="19.95" customHeight="1" x14ac:dyDescent="0.25">
      <c r="A399" s="13" t="str">
        <f>"76075"</f>
        <v>76075</v>
      </c>
      <c r="B399" s="14" t="s">
        <v>749</v>
      </c>
      <c r="C399" s="13" t="str">
        <f>"18.4"</f>
        <v>18.4</v>
      </c>
      <c r="D399" s="32">
        <f>(C399*1.24778761061)+(0.4)</f>
        <v>23.359292035223998</v>
      </c>
      <c r="E399" s="33">
        <f>(C399*1.16814159292)+(-1)</f>
        <v>20.493805309728</v>
      </c>
      <c r="F399" s="33">
        <f>(C399*1.1238938053)+(-4.4)</f>
        <v>16.279646017520001</v>
      </c>
      <c r="G399" s="33">
        <f>(C399*1.06194690265)+(-5.9)</f>
        <v>13.639823008759995</v>
      </c>
      <c r="H399" s="34">
        <f>(C399*1.19469026548)+(0)</f>
        <v>21.982300884832</v>
      </c>
      <c r="I399" s="34">
        <f>(C399*1.16814159292)+(-2)</f>
        <v>19.493805309728</v>
      </c>
      <c r="J399" s="34">
        <f>(C399*1.1238938053)+(-3.9)</f>
        <v>16.779646017520001</v>
      </c>
      <c r="K399" s="34">
        <f>(C399*1.07964601769)+(-5.6)</f>
        <v>14.265486725495998</v>
      </c>
    </row>
    <row r="400" spans="1:11" s="21" customFormat="1" ht="19.95" customHeight="1" x14ac:dyDescent="0.25">
      <c r="A400" s="13" t="str">
        <f>"71629"</f>
        <v>71629</v>
      </c>
      <c r="B400" s="14" t="s">
        <v>750</v>
      </c>
      <c r="C400" s="13" t="str">
        <f>"17.6"</f>
        <v>17.6</v>
      </c>
      <c r="D400" s="32">
        <f>(C400*1.24778761061)+(0.4)</f>
        <v>22.361061946736001</v>
      </c>
      <c r="E400" s="33">
        <f>(C400*1.16814159292)+(-1)</f>
        <v>19.559292035392001</v>
      </c>
      <c r="F400" s="33">
        <f>(C400*1.1238938053)+(-4.4)</f>
        <v>15.380530973280001</v>
      </c>
      <c r="G400" s="33">
        <f>(C400*1.06194690265)+(-5.9)</f>
        <v>12.790265486640001</v>
      </c>
      <c r="H400" s="34">
        <f>(C400*1.19469026548)+(0)</f>
        <v>21.026548672448001</v>
      </c>
      <c r="I400" s="34">
        <f>(C400*1.16814159292)+(-2)</f>
        <v>18.559292035392001</v>
      </c>
      <c r="J400" s="34">
        <f>(C400*1.1238938053)+(-3.9)</f>
        <v>15.880530973280001</v>
      </c>
      <c r="K400" s="34">
        <f>(C400*1.07964601769)+(-5.6)</f>
        <v>13.401769911344003</v>
      </c>
    </row>
    <row r="401" spans="1:11" s="21" customFormat="1" ht="19.95" customHeight="1" x14ac:dyDescent="0.25">
      <c r="A401" s="13" t="str">
        <f>"15903"</f>
        <v>15903</v>
      </c>
      <c r="B401" s="14" t="s">
        <v>751</v>
      </c>
      <c r="C401" s="13" t="str">
        <f>"18.2"</f>
        <v>18.2</v>
      </c>
      <c r="D401" s="32">
        <f>(C401*1.24778761061)+(0.4)</f>
        <v>23.109734513101998</v>
      </c>
      <c r="E401" s="33">
        <f>(C401*1.16814159292)+(-1)</f>
        <v>20.260176991144</v>
      </c>
      <c r="F401" s="33">
        <f>(C401*1.1238938053)+(-4.4)</f>
        <v>16.05486725646</v>
      </c>
      <c r="G401" s="33">
        <f>(C401*1.06194690265)+(-5.9)</f>
        <v>13.427433628229997</v>
      </c>
      <c r="H401" s="34">
        <f>(C401*1.19469026548)+(0)</f>
        <v>21.743362831736</v>
      </c>
      <c r="I401" s="34">
        <f>(C401*1.16814159292)+(-2)</f>
        <v>19.260176991144</v>
      </c>
      <c r="J401" s="34">
        <f>(C401*1.1238938053)+(-3.9)</f>
        <v>16.554867256460003</v>
      </c>
      <c r="K401" s="34">
        <f>(C401*1.07964601769)+(-5.6)</f>
        <v>14.049557521957999</v>
      </c>
    </row>
    <row r="402" spans="1:11" s="21" customFormat="1" ht="19.95" customHeight="1" x14ac:dyDescent="0.25">
      <c r="A402" s="13" t="str">
        <f>"15902"</f>
        <v>15902</v>
      </c>
      <c r="B402" s="14" t="s">
        <v>752</v>
      </c>
      <c r="C402" s="13" t="str">
        <f>"16.2"</f>
        <v>16.2</v>
      </c>
      <c r="D402" s="32">
        <f>(C402*1.24778761061)+(0.4)</f>
        <v>20.614159291882</v>
      </c>
      <c r="E402" s="33">
        <f>(C402*1.16814159292)+(-1)</f>
        <v>17.923893805304001</v>
      </c>
      <c r="F402" s="33">
        <f>(C402*1.1238938053)+(-4.4)</f>
        <v>13.807079645859998</v>
      </c>
      <c r="G402" s="33">
        <f>(C402*1.06194690265)+(-5.9)</f>
        <v>11.303539822929997</v>
      </c>
      <c r="H402" s="34">
        <f>(C402*1.19469026548)+(0)</f>
        <v>19.353982300776</v>
      </c>
      <c r="I402" s="34">
        <f>(C402*1.16814159292)+(-2)</f>
        <v>16.923893805304001</v>
      </c>
      <c r="J402" s="34">
        <f>(C402*1.1238938053)+(-3.9)</f>
        <v>14.307079645859998</v>
      </c>
      <c r="K402" s="34">
        <f>(C402*1.07964601769)+(-5.6)</f>
        <v>11.890265486578</v>
      </c>
    </row>
    <row r="403" spans="1:11" s="21" customFormat="1" ht="19.95" customHeight="1" x14ac:dyDescent="0.25">
      <c r="A403" s="13" t="str">
        <f>"76291"</f>
        <v>76291</v>
      </c>
      <c r="B403" s="14" t="s">
        <v>753</v>
      </c>
      <c r="C403" s="13" t="str">
        <f>"29.6"</f>
        <v>29.6</v>
      </c>
      <c r="D403" s="32">
        <f>(C403*1.24778761061)+(0.4)</f>
        <v>37.334513274056</v>
      </c>
      <c r="E403" s="33">
        <f>(C403*1.16814159292)+(-1)</f>
        <v>33.576991150432001</v>
      </c>
      <c r="F403" s="33">
        <f>(C403*1.1238938053)+(-4.4)</f>
        <v>28.867256636880008</v>
      </c>
      <c r="G403" s="33">
        <f>(C403*1.06194690265)+(-5.9)</f>
        <v>25.533628318440002</v>
      </c>
      <c r="H403" s="34">
        <f>(C403*1.19469026548)+(0)</f>
        <v>35.362831858208004</v>
      </c>
      <c r="I403" s="34">
        <f>(C403*1.16814159292)+(-2)</f>
        <v>32.576991150432001</v>
      </c>
      <c r="J403" s="34">
        <f>(C403*1.1238938053)+(-3.9)</f>
        <v>29.367256636880008</v>
      </c>
      <c r="K403" s="34">
        <f>(C403*1.07964601769)+(-5.6)</f>
        <v>26.357522123624001</v>
      </c>
    </row>
    <row r="404" spans="1:11" s="21" customFormat="1" ht="19.95" customHeight="1" x14ac:dyDescent="0.25">
      <c r="A404" s="13" t="str">
        <f>"79683"</f>
        <v>79683</v>
      </c>
      <c r="B404" s="14" t="s">
        <v>754</v>
      </c>
      <c r="C404" s="13" t="str">
        <f>"19.6"</f>
        <v>19.6</v>
      </c>
      <c r="D404" s="32">
        <f>(C404*1.24778761061)+(0.4)</f>
        <v>24.856637167956002</v>
      </c>
      <c r="E404" s="33">
        <f>(C404*1.16814159292)+(-1)</f>
        <v>21.895575221232004</v>
      </c>
      <c r="F404" s="33">
        <f>(C404*1.1238938053)+(-4.4)</f>
        <v>17.628318583880002</v>
      </c>
      <c r="G404" s="33">
        <f>(C404*1.06194690265)+(-5.9)</f>
        <v>14.914159291940001</v>
      </c>
      <c r="H404" s="34">
        <f>(C404*1.19469026548)+(0)</f>
        <v>23.415929203408002</v>
      </c>
      <c r="I404" s="34">
        <f>(C404*1.16814159292)+(-2)</f>
        <v>20.895575221232004</v>
      </c>
      <c r="J404" s="34">
        <f>(C404*1.1238938053)+(-3.9)</f>
        <v>18.128318583880002</v>
      </c>
      <c r="K404" s="34">
        <f>(C404*1.07964601769)+(-5.6)</f>
        <v>15.561061946724001</v>
      </c>
    </row>
    <row r="405" spans="1:11" s="21" customFormat="1" ht="19.95" customHeight="1" x14ac:dyDescent="0.25">
      <c r="A405" s="13" t="str">
        <f>"1000703"</f>
        <v>1000703</v>
      </c>
      <c r="B405" s="14" t="s">
        <v>755</v>
      </c>
      <c r="C405" s="13" t="str">
        <f>"21.4"</f>
        <v>21.4</v>
      </c>
      <c r="D405" s="32">
        <f>(C405*1.24778761061)+(0.4)</f>
        <v>27.102654867054</v>
      </c>
      <c r="E405" s="33">
        <f>(C405*1.16814159292)+(-1)</f>
        <v>23.998230088488</v>
      </c>
      <c r="F405" s="33">
        <f>(C405*1.1238938053)+(-4.4)</f>
        <v>19.651327433420001</v>
      </c>
      <c r="G405" s="33">
        <f>(C405*1.06194690265)+(-5.9)</f>
        <v>16.825663716709997</v>
      </c>
      <c r="H405" s="34">
        <f>(C405*1.19469026548)+(0)</f>
        <v>25.566371681271999</v>
      </c>
      <c r="I405" s="34">
        <f>(C405*1.16814159292)+(-2)</f>
        <v>22.998230088488</v>
      </c>
      <c r="J405" s="34">
        <f>(C405*1.1238938053)+(-3.9)</f>
        <v>20.151327433420001</v>
      </c>
      <c r="K405" s="34">
        <f>(C405*1.07964601769)+(-5.6)</f>
        <v>17.504424778565998</v>
      </c>
    </row>
    <row r="406" spans="1:11" s="21" customFormat="1" ht="19.95" customHeight="1" x14ac:dyDescent="0.25">
      <c r="A406" s="13" t="str">
        <f>"50931"</f>
        <v>50931</v>
      </c>
      <c r="B406" s="14" t="s">
        <v>756</v>
      </c>
      <c r="C406" s="13" t="str">
        <f>"12.5"</f>
        <v>12.5</v>
      </c>
      <c r="D406" s="32">
        <f>(C406*1.24778761061)+(0.4)</f>
        <v>15.997345132625002</v>
      </c>
      <c r="E406" s="33">
        <f>(C406*1.16814159292)+(-1)</f>
        <v>13.601769911500002</v>
      </c>
      <c r="F406" s="33">
        <f>(C406*1.1238938053)+(-4.4)</f>
        <v>9.648672566250001</v>
      </c>
      <c r="G406" s="33">
        <f>(C406*1.06194690265)+(-5.9)</f>
        <v>7.3743362831249986</v>
      </c>
      <c r="H406" s="34">
        <f>(C406*1.19469026548)+(0)</f>
        <v>14.9336283185</v>
      </c>
      <c r="I406" s="34">
        <f>(C406*1.16814159292)+(-2)</f>
        <v>12.601769911500002</v>
      </c>
      <c r="J406" s="34">
        <f>(C406*1.1238938053)+(-3.9)</f>
        <v>10.148672566250001</v>
      </c>
      <c r="K406" s="34">
        <f>(C406*1.07964601769)+(-5.6)</f>
        <v>7.8955752211250001</v>
      </c>
    </row>
    <row r="407" spans="1:11" s="21" customFormat="1" ht="19.95" customHeight="1" x14ac:dyDescent="0.25">
      <c r="A407" s="13" t="str">
        <f>"66903"</f>
        <v>66903</v>
      </c>
      <c r="B407" s="14" t="s">
        <v>757</v>
      </c>
      <c r="C407" s="13" t="str">
        <f>"11.1"</f>
        <v>11.1</v>
      </c>
      <c r="D407" s="32">
        <f>(C407*1.24778761061)+(0.4)</f>
        <v>14.250442477771001</v>
      </c>
      <c r="E407" s="33">
        <f>(C407*1.16814159292)+(-1)</f>
        <v>11.966371681412001</v>
      </c>
      <c r="F407" s="33">
        <f>(C407*1.1238938053)+(-4.4)</f>
        <v>8.0752212388300002</v>
      </c>
      <c r="G407" s="33">
        <f>(C407*1.06194690265)+(-5.9)</f>
        <v>5.887610619414998</v>
      </c>
      <c r="H407" s="34">
        <f>(C407*1.19469026548)+(0)</f>
        <v>13.261061946827999</v>
      </c>
      <c r="I407" s="34">
        <f>(C407*1.16814159292)+(-2)</f>
        <v>10.966371681412001</v>
      </c>
      <c r="J407" s="34">
        <f>(C407*1.1238938053)+(-3.9)</f>
        <v>8.5752212388300002</v>
      </c>
      <c r="K407" s="34">
        <f>(C407*1.07964601769)+(-5.6)</f>
        <v>6.3840707963589995</v>
      </c>
    </row>
    <row r="408" spans="1:11" s="21" customFormat="1" ht="19.95" customHeight="1" x14ac:dyDescent="0.25">
      <c r="A408" s="13" t="str">
        <f>"15908"</f>
        <v>15908</v>
      </c>
      <c r="B408" s="14" t="s">
        <v>758</v>
      </c>
      <c r="C408" s="13" t="str">
        <f>"8.3"</f>
        <v>8.3</v>
      </c>
      <c r="D408" s="32">
        <f>(C408*1.24778761061)+(0.4)</f>
        <v>10.756637168063001</v>
      </c>
      <c r="E408" s="33">
        <f>(C408*1.16814159292)+(-1)</f>
        <v>8.6955752212360018</v>
      </c>
      <c r="F408" s="33">
        <f>(C408*1.1238938053)+(-4.4)</f>
        <v>4.9283185839900003</v>
      </c>
      <c r="G408" s="33">
        <f>(C408*1.06194690265)+(-5.9)</f>
        <v>2.9141592919950003</v>
      </c>
      <c r="H408" s="34">
        <f>(C408*1.19469026548)+(0)</f>
        <v>9.9159292034840014</v>
      </c>
      <c r="I408" s="34">
        <f>(C408*1.16814159292)+(-2)</f>
        <v>7.6955752212360018</v>
      </c>
      <c r="J408" s="34">
        <f>(C408*1.1238938053)+(-3.9)</f>
        <v>5.4283185839900003</v>
      </c>
      <c r="K408" s="34">
        <f>(C408*1.07964601769)+(-5.6)</f>
        <v>3.361061946827002</v>
      </c>
    </row>
    <row r="409" spans="1:11" s="21" customFormat="1" ht="19.95" customHeight="1" x14ac:dyDescent="0.25">
      <c r="A409" s="13" t="str">
        <f>"1011780"</f>
        <v>1011780</v>
      </c>
      <c r="B409" s="14" t="s">
        <v>759</v>
      </c>
      <c r="C409" s="13" t="str">
        <f>"26.7"</f>
        <v>26.7</v>
      </c>
      <c r="D409" s="32">
        <f>(C409*1.24778761061)+(0.4)</f>
        <v>33.715929203286997</v>
      </c>
      <c r="E409" s="33">
        <f>(C409*1.16814159292)+(-1)</f>
        <v>30.189380530964002</v>
      </c>
      <c r="F409" s="33">
        <f>(C409*1.1238938053)+(-4.4)</f>
        <v>25.607964601509998</v>
      </c>
      <c r="G409" s="33">
        <f>(C409*1.06194690265)+(-5.9)</f>
        <v>22.453982300754994</v>
      </c>
      <c r="H409" s="34">
        <f>(C409*1.19469026548)+(0)</f>
        <v>31.898230088315998</v>
      </c>
      <c r="I409" s="34">
        <f>(C409*1.16814159292)+(-2)</f>
        <v>29.189380530964002</v>
      </c>
      <c r="J409" s="34">
        <f>(C409*1.1238938053)+(-3.9)</f>
        <v>26.107964601510002</v>
      </c>
      <c r="K409" s="34">
        <f>(C409*1.07964601769)+(-5.6)</f>
        <v>23.226548672322998</v>
      </c>
    </row>
    <row r="410" spans="1:11" s="21" customFormat="1" ht="19.95" customHeight="1" x14ac:dyDescent="0.25">
      <c r="A410" s="13" t="str">
        <f>"65592"</f>
        <v>65592</v>
      </c>
      <c r="B410" s="14" t="s">
        <v>760</v>
      </c>
      <c r="C410" s="13" t="str">
        <f>"35.8"</f>
        <v>35.8</v>
      </c>
      <c r="D410" s="32">
        <f>(C410*1.24778761061)+(0.4)</f>
        <v>45.070796459838</v>
      </c>
      <c r="E410" s="33">
        <f>(C410*1.16814159292)+(-1)</f>
        <v>40.819469026535998</v>
      </c>
      <c r="F410" s="33">
        <f>(C410*1.1238938053)+(-4.4)</f>
        <v>35.835398229740001</v>
      </c>
      <c r="G410" s="33">
        <f>(C410*1.06194690265)+(-5.9)</f>
        <v>32.117699114869993</v>
      </c>
      <c r="H410" s="34">
        <f>(C410*1.19469026548)+(0)</f>
        <v>42.769911504183995</v>
      </c>
      <c r="I410" s="34">
        <f>(C410*1.16814159292)+(-2)</f>
        <v>39.819469026535998</v>
      </c>
      <c r="J410" s="34">
        <f>(C410*1.1238938053)+(-3.9)</f>
        <v>36.335398229740001</v>
      </c>
      <c r="K410" s="34">
        <f>(C410*1.07964601769)+(-5.6)</f>
        <v>33.051327433301999</v>
      </c>
    </row>
    <row r="411" spans="1:11" s="21" customFormat="1" ht="19.95" customHeight="1" x14ac:dyDescent="0.25">
      <c r="A411" s="13" t="str">
        <f>"71624"</f>
        <v>71624</v>
      </c>
      <c r="B411" s="14" t="s">
        <v>761</v>
      </c>
      <c r="C411" s="13" t="str">
        <f>"15.5"</f>
        <v>15.5</v>
      </c>
      <c r="D411" s="32">
        <f>(C411*1.24778761061)+(0.4)</f>
        <v>19.740707964455002</v>
      </c>
      <c r="E411" s="33">
        <f>(C411*1.16814159292)+(-1)</f>
        <v>17.106194690260001</v>
      </c>
      <c r="F411" s="33">
        <f>(C411*1.1238938053)+(-4.4)</f>
        <v>13.020353982150001</v>
      </c>
      <c r="G411" s="33">
        <f>(C411*1.06194690265)+(-5.9)</f>
        <v>10.560176991074998</v>
      </c>
      <c r="H411" s="34">
        <f>(C411*1.19469026548)+(0)</f>
        <v>18.517699114940001</v>
      </c>
      <c r="I411" s="34">
        <f>(C411*1.16814159292)+(-2)</f>
        <v>16.106194690260001</v>
      </c>
      <c r="J411" s="34">
        <f>(C411*1.1238938053)+(-3.9)</f>
        <v>13.520353982150001</v>
      </c>
      <c r="K411" s="34">
        <f>(C411*1.07964601769)+(-5.6)</f>
        <v>11.134513274194999</v>
      </c>
    </row>
    <row r="412" spans="1:11" s="21" customFormat="1" ht="19.95" customHeight="1" x14ac:dyDescent="0.25">
      <c r="A412" s="13" t="str">
        <f>"1283"</f>
        <v>1283</v>
      </c>
      <c r="B412" s="14" t="s">
        <v>762</v>
      </c>
      <c r="C412" s="13" t="str">
        <f>"33.7"</f>
        <v>33.7</v>
      </c>
      <c r="D412" s="32">
        <f>(C412*1.24778761061)+(0.4)</f>
        <v>42.450442477557004</v>
      </c>
      <c r="E412" s="33">
        <f>(C412*1.16814159292)+(-1)</f>
        <v>38.366371681404004</v>
      </c>
      <c r="F412" s="33">
        <f>(C412*1.1238938053)+(-4.4)</f>
        <v>33.475221238610004</v>
      </c>
      <c r="G412" s="33">
        <f>(C412*1.06194690265)+(-5.9)</f>
        <v>29.887610619305001</v>
      </c>
      <c r="H412" s="34">
        <f>(C412*1.19469026548)+(0)</f>
        <v>40.261061946676001</v>
      </c>
      <c r="I412" s="34">
        <f>(C412*1.16814159292)+(-2)</f>
        <v>37.366371681404004</v>
      </c>
      <c r="J412" s="34">
        <f>(C412*1.1238938053)+(-3.9)</f>
        <v>33.975221238610004</v>
      </c>
      <c r="K412" s="34">
        <f>(C412*1.07964601769)+(-5.6)</f>
        <v>30.784070796153003</v>
      </c>
    </row>
    <row r="413" spans="1:11" s="21" customFormat="1" ht="19.95" customHeight="1" x14ac:dyDescent="0.25">
      <c r="A413" s="13" t="str">
        <f>"15910"</f>
        <v>15910</v>
      </c>
      <c r="B413" s="14" t="s">
        <v>763</v>
      </c>
      <c r="C413" s="13" t="str">
        <f>"21.7"</f>
        <v>21.7</v>
      </c>
      <c r="D413" s="32">
        <f>(C413*1.24778761061)+(0.4)</f>
        <v>27.476991150237001</v>
      </c>
      <c r="E413" s="33">
        <f>(C413*1.16814159292)+(-1)</f>
        <v>24.348672566364002</v>
      </c>
      <c r="F413" s="33">
        <f>(C413*1.1238938053)+(-4.4)</f>
        <v>19.988495575009999</v>
      </c>
      <c r="G413" s="33">
        <f>(C413*1.06194690265)+(-5.9)</f>
        <v>17.144247787504995</v>
      </c>
      <c r="H413" s="34">
        <f>(C413*1.19469026548)+(0)</f>
        <v>25.924778760915999</v>
      </c>
      <c r="I413" s="34">
        <f>(C413*1.16814159292)+(-2)</f>
        <v>23.348672566364002</v>
      </c>
      <c r="J413" s="34">
        <f>(C413*1.1238938053)+(-3.9)</f>
        <v>20.488495575010003</v>
      </c>
      <c r="K413" s="34">
        <f>(C413*1.07964601769)+(-5.6)</f>
        <v>17.828318583872999</v>
      </c>
    </row>
    <row r="414" spans="1:11" s="21" customFormat="1" ht="19.95" customHeight="1" x14ac:dyDescent="0.25">
      <c r="A414" s="13" t="str">
        <f>"40325"</f>
        <v>40325</v>
      </c>
      <c r="B414" s="14" t="s">
        <v>764</v>
      </c>
      <c r="C414" s="13" t="str">
        <f>"15.3"</f>
        <v>15.3</v>
      </c>
      <c r="D414" s="32">
        <f>(C414*1.24778761061)+(0.4)</f>
        <v>19.491150442333002</v>
      </c>
      <c r="E414" s="33">
        <f>(C414*1.16814159292)+(-1)</f>
        <v>16.872566371676001</v>
      </c>
      <c r="F414" s="33">
        <f>(C414*1.1238938053)+(-4.4)</f>
        <v>12.795575221090003</v>
      </c>
      <c r="G414" s="33">
        <f>(C414*1.06194690265)+(-5.9)</f>
        <v>10.347787610545</v>
      </c>
      <c r="H414" s="34">
        <f>(C414*1.19469026548)+(0)</f>
        <v>18.278761061844001</v>
      </c>
      <c r="I414" s="34">
        <f>(C414*1.16814159292)+(-2)</f>
        <v>15.872566371676001</v>
      </c>
      <c r="J414" s="34">
        <f>(C414*1.1238938053)+(-3.9)</f>
        <v>13.295575221090003</v>
      </c>
      <c r="K414" s="34">
        <f>(C414*1.07964601769)+(-5.6)</f>
        <v>10.918584070657003</v>
      </c>
    </row>
    <row r="415" spans="1:11" s="21" customFormat="1" ht="19.95" customHeight="1" x14ac:dyDescent="0.25">
      <c r="A415" s="13" t="str">
        <f>"1299"</f>
        <v>1299</v>
      </c>
      <c r="B415" s="14" t="s">
        <v>765</v>
      </c>
      <c r="C415" s="13" t="str">
        <f>"24.9"</f>
        <v>24.9</v>
      </c>
      <c r="D415" s="32">
        <f>(C415*1.24778761061)+(0.4)</f>
        <v>31.469911504189</v>
      </c>
      <c r="E415" s="33">
        <f>(C415*1.16814159292)+(-1)</f>
        <v>28.086725663708002</v>
      </c>
      <c r="F415" s="33">
        <f>(C415*1.1238938053)+(-4.4)</f>
        <v>23.58495575197</v>
      </c>
      <c r="G415" s="33">
        <f>(C415*1.06194690265)+(-5.9)</f>
        <v>20.542477875984993</v>
      </c>
      <c r="H415" s="34">
        <f>(C415*1.19469026548)+(0)</f>
        <v>29.747787610451997</v>
      </c>
      <c r="I415" s="34">
        <f>(C415*1.16814159292)+(-2)</f>
        <v>27.086725663708002</v>
      </c>
      <c r="J415" s="34">
        <f>(C415*1.1238938053)+(-3.9)</f>
        <v>24.08495575197</v>
      </c>
      <c r="K415" s="34">
        <f>(C415*1.07964601769)+(-5.6)</f>
        <v>21.283185840480996</v>
      </c>
    </row>
    <row r="416" spans="1:11" s="21" customFormat="1" ht="19.95" customHeight="1" x14ac:dyDescent="0.25">
      <c r="A416" s="13" t="str">
        <f>"69068"</f>
        <v>69068</v>
      </c>
      <c r="B416" s="14" t="s">
        <v>766</v>
      </c>
      <c r="C416" s="13" t="str">
        <f>"38.5"</f>
        <v>38.5</v>
      </c>
      <c r="D416" s="32">
        <f>(C416*1.24778761061)+(0.4)</f>
        <v>48.439823008485</v>
      </c>
      <c r="E416" s="33">
        <f>(C416*1.16814159292)+(-1)</f>
        <v>43.973451327420001</v>
      </c>
      <c r="F416" s="33">
        <f>(C416*1.1238938053)+(-4.4)</f>
        <v>38.869911504050002</v>
      </c>
      <c r="G416" s="33">
        <f>(C416*1.06194690265)+(-5.9)</f>
        <v>34.984955752024995</v>
      </c>
      <c r="H416" s="34">
        <f>(C416*1.19469026548)+(0)</f>
        <v>45.995575220980001</v>
      </c>
      <c r="I416" s="34">
        <f>(C416*1.16814159292)+(-2)</f>
        <v>42.973451327420001</v>
      </c>
      <c r="J416" s="34">
        <f>(C416*1.1238938053)+(-3.9)</f>
        <v>39.369911504050002</v>
      </c>
      <c r="K416" s="34">
        <f>(C416*1.07964601769)+(-5.6)</f>
        <v>35.966371681064999</v>
      </c>
    </row>
    <row r="417" spans="1:11" s="21" customFormat="1" ht="19.95" customHeight="1" x14ac:dyDescent="0.25">
      <c r="A417" s="13" t="str">
        <f>"1006949"</f>
        <v>1006949</v>
      </c>
      <c r="B417" s="14" t="s">
        <v>767</v>
      </c>
      <c r="C417" s="13" t="str">
        <f>"32.7"</f>
        <v>32.7</v>
      </c>
      <c r="D417" s="32">
        <f>(C417*1.24778761061)+(0.4)</f>
        <v>41.202654866947007</v>
      </c>
      <c r="E417" s="33">
        <f>(C417*1.16814159292)+(-1)</f>
        <v>37.198230088484003</v>
      </c>
      <c r="F417" s="33">
        <f>(C417*1.1238938053)+(-4.4)</f>
        <v>32.351327433310004</v>
      </c>
      <c r="G417" s="33">
        <f>(C417*1.06194690265)+(-5.9)</f>
        <v>28.825663716655001</v>
      </c>
      <c r="H417" s="34">
        <f>(C417*1.19469026548)+(0)</f>
        <v>39.066371681196003</v>
      </c>
      <c r="I417" s="34">
        <f>(C417*1.16814159292)+(-2)</f>
        <v>36.198230088484003</v>
      </c>
      <c r="J417" s="34">
        <f>(C417*1.1238938053)+(-3.9)</f>
        <v>32.851327433310004</v>
      </c>
      <c r="K417" s="34">
        <f>(C417*1.07964601769)+(-5.6)</f>
        <v>29.704424778463</v>
      </c>
    </row>
    <row r="418" spans="1:11" s="21" customFormat="1" ht="19.95" customHeight="1" x14ac:dyDescent="0.25">
      <c r="A418" s="13" t="str">
        <f>"67664"</f>
        <v>67664</v>
      </c>
      <c r="B418" s="14" t="s">
        <v>768</v>
      </c>
      <c r="C418" s="13" t="str">
        <f>"20.6"</f>
        <v>20.6</v>
      </c>
      <c r="D418" s="32">
        <f>(C418*1.24778761061)+(0.4)</f>
        <v>26.104424778566003</v>
      </c>
      <c r="E418" s="33">
        <f>(C418*1.16814159292)+(-1)</f>
        <v>23.063716814152002</v>
      </c>
      <c r="F418" s="33">
        <f>(C418*1.1238938053)+(-4.4)</f>
        <v>18.752212389180002</v>
      </c>
      <c r="G418" s="33">
        <f>(C418*1.06194690265)+(-5.9)</f>
        <v>15.976106194590001</v>
      </c>
      <c r="H418" s="34">
        <f>(C418*1.19469026548)+(0)</f>
        <v>24.610619468888</v>
      </c>
      <c r="I418" s="34">
        <f>(C418*1.16814159292)+(-2)</f>
        <v>22.063716814152002</v>
      </c>
      <c r="J418" s="34">
        <f>(C418*1.1238938053)+(-3.9)</f>
        <v>19.252212389180006</v>
      </c>
      <c r="K418" s="34">
        <f>(C418*1.07964601769)+(-5.6)</f>
        <v>16.640707964414005</v>
      </c>
    </row>
    <row r="419" spans="1:11" s="21" customFormat="1" ht="19.95" customHeight="1" x14ac:dyDescent="0.25">
      <c r="A419" s="13" t="str">
        <f>"15918"</f>
        <v>15918</v>
      </c>
      <c r="B419" s="14" t="s">
        <v>769</v>
      </c>
      <c r="C419" s="13" t="str">
        <f>"22.4"</f>
        <v>22.4</v>
      </c>
      <c r="D419" s="32">
        <f>(C419*1.24778761061)+(0.4)</f>
        <v>28.350442477664</v>
      </c>
      <c r="E419" s="33">
        <f>(C419*1.16814159292)+(-1)</f>
        <v>25.166371681408002</v>
      </c>
      <c r="F419" s="33">
        <f>(C419*1.1238938053)+(-4.4)</f>
        <v>20.77522123872</v>
      </c>
      <c r="G419" s="33">
        <f>(C419*1.06194690265)+(-5.9)</f>
        <v>17.887610619359997</v>
      </c>
      <c r="H419" s="34">
        <f>(C419*1.19469026548)+(0)</f>
        <v>26.761061946751997</v>
      </c>
      <c r="I419" s="34">
        <f>(C419*1.16814159292)+(-2)</f>
        <v>24.166371681408002</v>
      </c>
      <c r="J419" s="34">
        <f>(C419*1.1238938053)+(-3.9)</f>
        <v>21.27522123872</v>
      </c>
      <c r="K419" s="34">
        <f>(C419*1.07964601769)+(-5.6)</f>
        <v>18.584070796256</v>
      </c>
    </row>
    <row r="420" spans="1:11" s="21" customFormat="1" ht="19.95" customHeight="1" x14ac:dyDescent="0.25">
      <c r="A420" s="13" t="str">
        <f>"73354"</f>
        <v>73354</v>
      </c>
      <c r="B420" s="14" t="s">
        <v>770</v>
      </c>
      <c r="C420" s="13" t="str">
        <f>"25.8"</f>
        <v>25.8</v>
      </c>
      <c r="D420" s="32">
        <f>(C420*1.24778761061)+(0.4)</f>
        <v>32.592920353738002</v>
      </c>
      <c r="E420" s="33">
        <f>(C420*1.16814159292)+(-1)</f>
        <v>29.138053097336002</v>
      </c>
      <c r="F420" s="33">
        <f>(C420*1.1238938053)+(-4.4)</f>
        <v>24.596460176740003</v>
      </c>
      <c r="G420" s="33">
        <f>(C420*1.06194690265)+(-5.9)</f>
        <v>21.498230088370001</v>
      </c>
      <c r="H420" s="34">
        <f>(C420*1.19469026548)+(0)</f>
        <v>30.823008849384003</v>
      </c>
      <c r="I420" s="34">
        <f>(C420*1.16814159292)+(-2)</f>
        <v>28.138053097336002</v>
      </c>
      <c r="J420" s="34">
        <f>(C420*1.1238938053)+(-3.9)</f>
        <v>25.096460176740003</v>
      </c>
      <c r="K420" s="34">
        <f>(C420*1.07964601769)+(-5.6)</f>
        <v>22.254867256402001</v>
      </c>
    </row>
    <row r="421" spans="1:11" s="21" customFormat="1" ht="19.95" customHeight="1" x14ac:dyDescent="0.25">
      <c r="A421" s="13" t="str">
        <f>"21789"</f>
        <v>21789</v>
      </c>
      <c r="B421" s="14" t="s">
        <v>771</v>
      </c>
      <c r="C421" s="13" t="str">
        <f>"23.7"</f>
        <v>23.7</v>
      </c>
      <c r="D421" s="32">
        <f>(C421*1.24778761061)+(0.4)</f>
        <v>29.972566371456999</v>
      </c>
      <c r="E421" s="33">
        <f>(C421*1.16814159292)+(-1)</f>
        <v>26.684955752204001</v>
      </c>
      <c r="F421" s="33">
        <f>(C421*1.1238938053)+(-4.4)</f>
        <v>22.236283185609999</v>
      </c>
      <c r="G421" s="33">
        <f>(C421*1.06194690265)+(-5.9)</f>
        <v>19.268141592804994</v>
      </c>
      <c r="H421" s="34">
        <f>(C421*1.19469026548)+(0)</f>
        <v>28.314159291875999</v>
      </c>
      <c r="I421" s="34">
        <f>(C421*1.16814159292)+(-2)</f>
        <v>25.684955752204001</v>
      </c>
      <c r="J421" s="34">
        <f>(C421*1.1238938053)+(-3.9)</f>
        <v>22.736283185610002</v>
      </c>
      <c r="K421" s="34">
        <f>(C421*1.07964601769)+(-5.6)</f>
        <v>19.987610619252997</v>
      </c>
    </row>
    <row r="422" spans="1:11" s="21" customFormat="1" ht="19.95" customHeight="1" x14ac:dyDescent="0.25">
      <c r="A422" s="13" t="str">
        <f>"15925"</f>
        <v>15925</v>
      </c>
      <c r="B422" s="14" t="s">
        <v>772</v>
      </c>
      <c r="C422" s="13" t="str">
        <f>"16.3"</f>
        <v>16.3</v>
      </c>
      <c r="D422" s="32">
        <f>(C422*1.24778761061)+(0.4)</f>
        <v>20.738938052943002</v>
      </c>
      <c r="E422" s="33">
        <f>(C422*1.16814159292)+(-1)</f>
        <v>18.040707964596002</v>
      </c>
      <c r="F422" s="33">
        <f>(C422*1.1238938053)+(-4.4)</f>
        <v>13.919469026390002</v>
      </c>
      <c r="G422" s="33">
        <f>(C422*1.06194690265)+(-5.9)</f>
        <v>11.409734513195</v>
      </c>
      <c r="H422" s="34">
        <f>(C422*1.19469026548)+(0)</f>
        <v>19.473451327324</v>
      </c>
      <c r="I422" s="34">
        <f>(C422*1.16814159292)+(-2)</f>
        <v>17.040707964596002</v>
      </c>
      <c r="J422" s="34">
        <f>(C422*1.1238938053)+(-3.9)</f>
        <v>14.419469026390002</v>
      </c>
      <c r="K422" s="34">
        <f>(C422*1.07964601769)+(-5.6)</f>
        <v>11.998230088347002</v>
      </c>
    </row>
    <row r="423" spans="1:11" s="21" customFormat="1" ht="19.95" customHeight="1" x14ac:dyDescent="0.25">
      <c r="A423" s="13" t="str">
        <f>"15926"</f>
        <v>15926</v>
      </c>
      <c r="B423" s="14" t="s">
        <v>773</v>
      </c>
      <c r="C423" s="13" t="str">
        <f>"5.7"</f>
        <v>5.7</v>
      </c>
      <c r="D423" s="32">
        <f>(C423*1.24778761061)+(0.4)</f>
        <v>7.5123893804770008</v>
      </c>
      <c r="E423" s="33">
        <f>(C423*1.16814159292)+(-1)</f>
        <v>5.6584070796440002</v>
      </c>
      <c r="F423" s="33">
        <f>(C423*1.1238938053)+(-4.4)</f>
        <v>2.0061946902100001</v>
      </c>
      <c r="G423" s="33">
        <f>(C423*1.06194690265)+(-5.9)</f>
        <v>0.1530973451049995</v>
      </c>
      <c r="H423" s="34">
        <f>(C423*1.19469026548)+(0)</f>
        <v>6.8097345132360001</v>
      </c>
      <c r="I423" s="34">
        <f>(C423*1.16814159292)+(-2)</f>
        <v>4.6584070796440002</v>
      </c>
      <c r="J423" s="34">
        <f>(C423*1.1238938053)+(-3.9)</f>
        <v>2.5061946902100005</v>
      </c>
      <c r="K423" s="34">
        <f>(C423*1.07964601769)+(-5.6)</f>
        <v>0.55398230083300071</v>
      </c>
    </row>
    <row r="424" spans="1:11" s="21" customFormat="1" ht="19.95" customHeight="1" x14ac:dyDescent="0.25">
      <c r="A424" s="13" t="str">
        <f>"15927"</f>
        <v>15927</v>
      </c>
      <c r="B424" s="14" t="s">
        <v>774</v>
      </c>
      <c r="C424" s="13" t="str">
        <f>"24.3"</f>
        <v>24.3</v>
      </c>
      <c r="D424" s="32">
        <f>(C424*1.24778761061)+(0.4)</f>
        <v>30.721238937823003</v>
      </c>
      <c r="E424" s="33">
        <f>(C424*1.16814159292)+(-1)</f>
        <v>27.385840707956003</v>
      </c>
      <c r="F424" s="33">
        <f>(C424*1.1238938053)+(-4.4)</f>
        <v>22.910619468790003</v>
      </c>
      <c r="G424" s="33">
        <f>(C424*1.06194690265)+(-5.9)</f>
        <v>19.905309734394997</v>
      </c>
      <c r="H424" s="34">
        <f>(C424*1.19469026548)+(0)</f>
        <v>29.030973451164002</v>
      </c>
      <c r="I424" s="34">
        <f>(C424*1.16814159292)+(-2)</f>
        <v>26.385840707956003</v>
      </c>
      <c r="J424" s="34">
        <f>(C424*1.1238938053)+(-3.9)</f>
        <v>23.410619468790003</v>
      </c>
      <c r="K424" s="34">
        <f>(C424*1.07964601769)+(-5.6)</f>
        <v>20.635398229867</v>
      </c>
    </row>
    <row r="425" spans="1:11" s="21" customFormat="1" ht="19.95" customHeight="1" x14ac:dyDescent="0.25">
      <c r="A425" s="13" t="str">
        <f>"46256"</f>
        <v>46256</v>
      </c>
      <c r="B425" s="14" t="s">
        <v>775</v>
      </c>
      <c r="C425" s="13" t="str">
        <f>"28.3"</f>
        <v>28.3</v>
      </c>
      <c r="D425" s="32">
        <f>(C425*1.24778761061)+(0.4)</f>
        <v>35.712389380263005</v>
      </c>
      <c r="E425" s="33">
        <f>(C425*1.16814159292)+(-1)</f>
        <v>32.058407079636005</v>
      </c>
      <c r="F425" s="33">
        <f>(C425*1.1238938053)+(-4.4)</f>
        <v>27.406194689990002</v>
      </c>
      <c r="G425" s="33">
        <f>(C425*1.06194690265)+(-5.9)</f>
        <v>24.153097344994997</v>
      </c>
      <c r="H425" s="34">
        <f>(C425*1.19469026548)+(0)</f>
        <v>33.809734513084003</v>
      </c>
      <c r="I425" s="34">
        <f>(C425*1.16814159292)+(-2)</f>
        <v>31.058407079636005</v>
      </c>
      <c r="J425" s="34">
        <f>(C425*1.1238938053)+(-3.9)</f>
        <v>27.906194689990002</v>
      </c>
      <c r="K425" s="34">
        <f>(C425*1.07964601769)+(-5.6)</f>
        <v>24.953982300627004</v>
      </c>
    </row>
    <row r="426" spans="1:11" s="21" customFormat="1" ht="19.95" customHeight="1" x14ac:dyDescent="0.25">
      <c r="A426" s="13" t="str">
        <f>"1005264"</f>
        <v>1005264</v>
      </c>
      <c r="B426" s="14" t="s">
        <v>776</v>
      </c>
      <c r="C426" s="13" t="str">
        <f>"15.1"</f>
        <v>15.1</v>
      </c>
      <c r="D426" s="32">
        <f>(C426*1.24778761061)+(0.4)</f>
        <v>19.241592920210998</v>
      </c>
      <c r="E426" s="33">
        <f>(C426*1.16814159292)+(-1)</f>
        <v>16.638938053092001</v>
      </c>
      <c r="F426" s="33">
        <f>(C426*1.1238938053)+(-4.4)</f>
        <v>12.570796460030001</v>
      </c>
      <c r="G426" s="33">
        <f>(C426*1.06194690265)+(-5.9)</f>
        <v>10.135398230014998</v>
      </c>
      <c r="H426" s="34">
        <f>(C426*1.19469026548)+(0)</f>
        <v>18.039823008747998</v>
      </c>
      <c r="I426" s="34">
        <f>(C426*1.16814159292)+(-2)</f>
        <v>15.638938053092001</v>
      </c>
      <c r="J426" s="34">
        <f>(C426*1.1238938053)+(-3.9)</f>
        <v>13.070796460030001</v>
      </c>
      <c r="K426" s="34">
        <f>(C426*1.07964601769)+(-5.6)</f>
        <v>10.702654867119</v>
      </c>
    </row>
    <row r="427" spans="1:11" s="21" customFormat="1" ht="19.95" customHeight="1" x14ac:dyDescent="0.25">
      <c r="A427" s="13" t="str">
        <f>"15930"</f>
        <v>15930</v>
      </c>
      <c r="B427" s="14" t="s">
        <v>777</v>
      </c>
      <c r="C427" s="13" t="str">
        <f>"19.3"</f>
        <v>19.3</v>
      </c>
      <c r="D427" s="32">
        <f>(C427*1.24778761061)+(0.4)</f>
        <v>24.482300884773</v>
      </c>
      <c r="E427" s="33">
        <f>(C427*1.16814159292)+(-1)</f>
        <v>21.545132743356003</v>
      </c>
      <c r="F427" s="33">
        <f>(C427*1.1238938053)+(-4.4)</f>
        <v>17.291150442290004</v>
      </c>
      <c r="G427" s="33">
        <f>(C427*1.06194690265)+(-5.9)</f>
        <v>14.595575221144999</v>
      </c>
      <c r="H427" s="34">
        <f>(C427*1.19469026548)+(0)</f>
        <v>23.057522123764002</v>
      </c>
      <c r="I427" s="34">
        <f>(C427*1.16814159292)+(-2)</f>
        <v>20.545132743356003</v>
      </c>
      <c r="J427" s="34">
        <f>(C427*1.1238938053)+(-3.9)</f>
        <v>17.791150442290004</v>
      </c>
      <c r="K427" s="34">
        <f>(C427*1.07964601769)+(-5.6)</f>
        <v>15.237168141417003</v>
      </c>
    </row>
    <row r="428" spans="1:11" s="21" customFormat="1" ht="19.95" customHeight="1" x14ac:dyDescent="0.25">
      <c r="A428" s="13" t="str">
        <f>"42768"</f>
        <v>42768</v>
      </c>
      <c r="B428" s="14" t="s">
        <v>778</v>
      </c>
      <c r="C428" s="13" t="str">
        <f>"31.6"</f>
        <v>31.6</v>
      </c>
      <c r="D428" s="32">
        <f>(C428*1.24778761061)+(0.4)</f>
        <v>39.830088495276001</v>
      </c>
      <c r="E428" s="33">
        <f>(C428*1.16814159292)+(-1)</f>
        <v>35.913274336272003</v>
      </c>
      <c r="F428" s="33">
        <f>(C428*1.1238938053)+(-4.4)</f>
        <v>31.115044247480007</v>
      </c>
      <c r="G428" s="33">
        <f>(C428*1.06194690265)+(-5.9)</f>
        <v>27.657522123740002</v>
      </c>
      <c r="H428" s="34">
        <f>(C428*1.19469026548)+(0)</f>
        <v>37.752212389168001</v>
      </c>
      <c r="I428" s="34">
        <f>(C428*1.16814159292)+(-2)</f>
        <v>34.913274336272003</v>
      </c>
      <c r="J428" s="34">
        <f>(C428*1.1238938053)+(-3.9)</f>
        <v>31.615044247480007</v>
      </c>
      <c r="K428" s="34">
        <f>(C428*1.07964601769)+(-5.6)</f>
        <v>28.516814159003999</v>
      </c>
    </row>
    <row r="429" spans="1:11" s="21" customFormat="1" ht="19.95" customHeight="1" x14ac:dyDescent="0.25">
      <c r="A429" s="13" t="str">
        <f>"15933"</f>
        <v>15933</v>
      </c>
      <c r="B429" s="14" t="s">
        <v>779</v>
      </c>
      <c r="C429" s="13" t="str">
        <f>"31.9"</f>
        <v>31.9</v>
      </c>
      <c r="D429" s="32">
        <f>(C429*1.24778761061)+(0.4)</f>
        <v>40.204424778459</v>
      </c>
      <c r="E429" s="33">
        <f>(C429*1.16814159292)+(-1)</f>
        <v>36.263716814147998</v>
      </c>
      <c r="F429" s="33">
        <f>(C429*1.1238938053)+(-4.4)</f>
        <v>31.452212389069999</v>
      </c>
      <c r="G429" s="33">
        <f>(C429*1.06194690265)+(-5.9)</f>
        <v>27.976106194534999</v>
      </c>
      <c r="H429" s="34">
        <f>(C429*1.19469026548)+(0)</f>
        <v>38.110619468811997</v>
      </c>
      <c r="I429" s="34">
        <f>(C429*1.16814159292)+(-2)</f>
        <v>35.263716814147998</v>
      </c>
      <c r="J429" s="34">
        <f>(C429*1.1238938053)+(-3.9)</f>
        <v>31.952212389069999</v>
      </c>
      <c r="K429" s="34">
        <f>(C429*1.07964601769)+(-5.6)</f>
        <v>28.840707964311001</v>
      </c>
    </row>
    <row r="430" spans="1:11" s="21" customFormat="1" ht="19.95" customHeight="1" x14ac:dyDescent="0.25">
      <c r="A430" s="13" t="str">
        <f>"1013900"</f>
        <v>1013900</v>
      </c>
      <c r="B430" s="14" t="s">
        <v>780</v>
      </c>
      <c r="C430" s="13" t="str">
        <f>"18.3"</f>
        <v>18.3</v>
      </c>
      <c r="D430" s="32">
        <f>(C430*1.24778761061)+(0.4)</f>
        <v>23.234513274163</v>
      </c>
      <c r="E430" s="33">
        <f>(C430*1.16814159292)+(-1)</f>
        <v>20.376991150436002</v>
      </c>
      <c r="F430" s="33">
        <f>(C430*1.1238938053)+(-4.4)</f>
        <v>16.167256636990004</v>
      </c>
      <c r="G430" s="33">
        <f>(C430*1.06194690265)+(-5.9)</f>
        <v>13.533628318494999</v>
      </c>
      <c r="H430" s="34">
        <f>(C430*1.19469026548)+(0)</f>
        <v>21.862831858284</v>
      </c>
      <c r="I430" s="34">
        <f>(C430*1.16814159292)+(-2)</f>
        <v>19.376991150436002</v>
      </c>
      <c r="J430" s="34">
        <f>(C430*1.1238938053)+(-3.9)</f>
        <v>16.667256636990004</v>
      </c>
      <c r="K430" s="34">
        <f>(C430*1.07964601769)+(-5.6)</f>
        <v>14.157522123727</v>
      </c>
    </row>
    <row r="431" spans="1:11" s="21" customFormat="1" ht="19.95" customHeight="1" x14ac:dyDescent="0.25">
      <c r="A431" s="13" t="str">
        <f>"1013898"</f>
        <v>1013898</v>
      </c>
      <c r="B431" s="14" t="s">
        <v>781</v>
      </c>
      <c r="C431" s="13" t="str">
        <f>"17.8"</f>
        <v>17.8</v>
      </c>
      <c r="D431" s="32">
        <f>(C431*1.24778761061)+(0.4)</f>
        <v>22.610619468858001</v>
      </c>
      <c r="E431" s="33">
        <f>(C431*1.16814159292)+(-1)</f>
        <v>19.792920353976001</v>
      </c>
      <c r="F431" s="33">
        <f>(C431*1.1238938053)+(-4.4)</f>
        <v>15.605309734340002</v>
      </c>
      <c r="G431" s="33">
        <f>(C431*1.06194690265)+(-5.9)</f>
        <v>13.00265486717</v>
      </c>
      <c r="H431" s="34">
        <f>(C431*1.19469026548)+(0)</f>
        <v>21.265486725544001</v>
      </c>
      <c r="I431" s="34">
        <f>(C431*1.16814159292)+(-2)</f>
        <v>18.792920353976001</v>
      </c>
      <c r="J431" s="34">
        <f>(C431*1.1238938053)+(-3.9)</f>
        <v>16.105309734340004</v>
      </c>
      <c r="K431" s="34">
        <f>(C431*1.07964601769)+(-5.6)</f>
        <v>13.617699114882003</v>
      </c>
    </row>
    <row r="432" spans="1:11" s="21" customFormat="1" ht="19.95" customHeight="1" x14ac:dyDescent="0.25">
      <c r="A432" s="13" t="str">
        <f>"1013897"</f>
        <v>1013897</v>
      </c>
      <c r="B432" s="14" t="s">
        <v>782</v>
      </c>
      <c r="C432" s="13" t="str">
        <f>"18.4"</f>
        <v>18.4</v>
      </c>
      <c r="D432" s="32">
        <f>(C432*1.24778761061)+(0.4)</f>
        <v>23.359292035223998</v>
      </c>
      <c r="E432" s="33">
        <f>(C432*1.16814159292)+(-1)</f>
        <v>20.493805309728</v>
      </c>
      <c r="F432" s="33">
        <f>(C432*1.1238938053)+(-4.4)</f>
        <v>16.279646017520001</v>
      </c>
      <c r="G432" s="33">
        <f>(C432*1.06194690265)+(-5.9)</f>
        <v>13.639823008759995</v>
      </c>
      <c r="H432" s="34">
        <f>(C432*1.19469026548)+(0)</f>
        <v>21.982300884832</v>
      </c>
      <c r="I432" s="34">
        <f>(C432*1.16814159292)+(-2)</f>
        <v>19.493805309728</v>
      </c>
      <c r="J432" s="34">
        <f>(C432*1.1238938053)+(-3.9)</f>
        <v>16.779646017520001</v>
      </c>
      <c r="K432" s="34">
        <f>(C432*1.07964601769)+(-5.6)</f>
        <v>14.265486725495998</v>
      </c>
    </row>
    <row r="433" spans="1:11" s="21" customFormat="1" ht="19.95" customHeight="1" x14ac:dyDescent="0.25">
      <c r="A433" s="13" t="str">
        <f>"15934"</f>
        <v>15934</v>
      </c>
      <c r="B433" s="14" t="s">
        <v>783</v>
      </c>
      <c r="C433" s="13" t="str">
        <f>"22.5"</f>
        <v>22.5</v>
      </c>
      <c r="D433" s="32">
        <f>(C433*1.24778761061)+(0.4)</f>
        <v>28.475221238725002</v>
      </c>
      <c r="E433" s="33">
        <f>(C433*1.16814159292)+(-1)</f>
        <v>25.283185840700003</v>
      </c>
      <c r="F433" s="33">
        <f>(C433*1.1238938053)+(-4.4)</f>
        <v>20.887610619249998</v>
      </c>
      <c r="G433" s="33">
        <f>(C433*1.06194690265)+(-5.9)</f>
        <v>17.993805309624996</v>
      </c>
      <c r="H433" s="34">
        <f>(C433*1.19469026548)+(0)</f>
        <v>26.880530973300001</v>
      </c>
      <c r="I433" s="34">
        <f>(C433*1.16814159292)+(-2)</f>
        <v>24.283185840700003</v>
      </c>
      <c r="J433" s="34">
        <f>(C433*1.1238938053)+(-3.9)</f>
        <v>21.387610619250001</v>
      </c>
      <c r="K433" s="34">
        <f>(C433*1.07964601769)+(-5.6)</f>
        <v>18.692035398024998</v>
      </c>
    </row>
    <row r="434" spans="1:11" s="21" customFormat="1" ht="19.95" customHeight="1" x14ac:dyDescent="0.25">
      <c r="A434" s="13" t="str">
        <f>"15935"</f>
        <v>15935</v>
      </c>
      <c r="B434" s="14" t="s">
        <v>784</v>
      </c>
      <c r="C434" s="13" t="str">
        <f>"16.3"</f>
        <v>16.3</v>
      </c>
      <c r="D434" s="32">
        <f>(C434*1.24778761061)+(0.4)</f>
        <v>20.738938052943002</v>
      </c>
      <c r="E434" s="33">
        <f>(C434*1.16814159292)+(-1)</f>
        <v>18.040707964596002</v>
      </c>
      <c r="F434" s="33">
        <f>(C434*1.1238938053)+(-4.4)</f>
        <v>13.919469026390002</v>
      </c>
      <c r="G434" s="33">
        <f>(C434*1.06194690265)+(-5.9)</f>
        <v>11.409734513195</v>
      </c>
      <c r="H434" s="34">
        <f>(C434*1.19469026548)+(0)</f>
        <v>19.473451327324</v>
      </c>
      <c r="I434" s="34">
        <f>(C434*1.16814159292)+(-2)</f>
        <v>17.040707964596002</v>
      </c>
      <c r="J434" s="34">
        <f>(C434*1.1238938053)+(-3.9)</f>
        <v>14.419469026390002</v>
      </c>
      <c r="K434" s="34">
        <f>(C434*1.07964601769)+(-5.6)</f>
        <v>11.998230088347002</v>
      </c>
    </row>
    <row r="435" spans="1:11" s="21" customFormat="1" ht="19.95" customHeight="1" x14ac:dyDescent="0.25">
      <c r="A435" s="13" t="str">
        <f>"3423"</f>
        <v>3423</v>
      </c>
      <c r="B435" s="14" t="s">
        <v>785</v>
      </c>
      <c r="C435" s="13" t="str">
        <f>"17.6"</f>
        <v>17.6</v>
      </c>
      <c r="D435" s="32">
        <f>(C435*1.24778761061)+(0.4)</f>
        <v>22.361061946736001</v>
      </c>
      <c r="E435" s="33">
        <f>(C435*1.16814159292)+(-1)</f>
        <v>19.559292035392001</v>
      </c>
      <c r="F435" s="33">
        <f>(C435*1.1238938053)+(-4.4)</f>
        <v>15.380530973280001</v>
      </c>
      <c r="G435" s="33">
        <f>(C435*1.06194690265)+(-5.9)</f>
        <v>12.790265486640001</v>
      </c>
      <c r="H435" s="34">
        <f>(C435*1.19469026548)+(0)</f>
        <v>21.026548672448001</v>
      </c>
      <c r="I435" s="34">
        <f>(C435*1.16814159292)+(-2)</f>
        <v>18.559292035392001</v>
      </c>
      <c r="J435" s="34">
        <f>(C435*1.1238938053)+(-3.9)</f>
        <v>15.880530973280001</v>
      </c>
      <c r="K435" s="34">
        <f>(C435*1.07964601769)+(-5.6)</f>
        <v>13.401769911344003</v>
      </c>
    </row>
    <row r="436" spans="1:11" s="21" customFormat="1" ht="19.95" customHeight="1" x14ac:dyDescent="0.25">
      <c r="A436" s="13" t="str">
        <f>"74722"</f>
        <v>74722</v>
      </c>
      <c r="B436" s="14" t="s">
        <v>786</v>
      </c>
      <c r="C436" s="13" t="str">
        <f>"34.6"</f>
        <v>34.6</v>
      </c>
      <c r="D436" s="32">
        <f>(C436*1.24778761061)+(0.4)</f>
        <v>43.573451327106007</v>
      </c>
      <c r="E436" s="33">
        <f>(C436*1.16814159292)+(-1)</f>
        <v>39.417699115032008</v>
      </c>
      <c r="F436" s="33">
        <f>(C436*1.1238938053)+(-4.4)</f>
        <v>34.486725663380007</v>
      </c>
      <c r="G436" s="33">
        <f>(C436*1.06194690265)+(-5.9)</f>
        <v>30.843362831690001</v>
      </c>
      <c r="H436" s="34">
        <f>(C436*1.19469026548)+(0)</f>
        <v>41.336283185608004</v>
      </c>
      <c r="I436" s="34">
        <f>(C436*1.16814159292)+(-2)</f>
        <v>38.417699115032008</v>
      </c>
      <c r="J436" s="34">
        <f>(C436*1.1238938053)+(-3.9)</f>
        <v>34.986725663380007</v>
      </c>
      <c r="K436" s="34">
        <f>(C436*1.07964601769)+(-5.6)</f>
        <v>31.755752212074</v>
      </c>
    </row>
    <row r="437" spans="1:11" s="21" customFormat="1" ht="19.95" customHeight="1" x14ac:dyDescent="0.25">
      <c r="A437" s="13" t="str">
        <f>"15940"</f>
        <v>15940</v>
      </c>
      <c r="B437" s="14" t="s">
        <v>787</v>
      </c>
      <c r="C437" s="13" t="str">
        <f>"20.7"</f>
        <v>20.7</v>
      </c>
      <c r="D437" s="32">
        <f>(C437*1.24778761061)+(0.4)</f>
        <v>26.229203539627001</v>
      </c>
      <c r="E437" s="33">
        <f>(C437*1.16814159292)+(-1)</f>
        <v>23.180530973444</v>
      </c>
      <c r="F437" s="33">
        <f>(C437*1.1238938053)+(-4.4)</f>
        <v>18.864601769709999</v>
      </c>
      <c r="G437" s="33">
        <f>(C437*1.06194690265)+(-5.9)</f>
        <v>16.082300884854995</v>
      </c>
      <c r="H437" s="34">
        <f>(C437*1.19469026548)+(0)</f>
        <v>24.730088495436</v>
      </c>
      <c r="I437" s="34">
        <f>(C437*1.16814159292)+(-2)</f>
        <v>22.180530973444</v>
      </c>
      <c r="J437" s="34">
        <f>(C437*1.1238938053)+(-3.9)</f>
        <v>19.364601769710003</v>
      </c>
      <c r="K437" s="34">
        <f>(C437*1.07964601769)+(-5.6)</f>
        <v>16.748672566182996</v>
      </c>
    </row>
    <row r="438" spans="1:11" s="21" customFormat="1" ht="19.95" customHeight="1" x14ac:dyDescent="0.25">
      <c r="A438" s="13" t="str">
        <f>"1000190"</f>
        <v>1000190</v>
      </c>
      <c r="B438" s="14" t="s">
        <v>788</v>
      </c>
      <c r="C438" s="13" t="str">
        <f>"16.4"</f>
        <v>16.4</v>
      </c>
      <c r="D438" s="32">
        <f>(C438*1.24778761061)+(0.4)</f>
        <v>20.863716814003997</v>
      </c>
      <c r="E438" s="33">
        <f>(C438*1.16814159292)+(-1)</f>
        <v>18.157522123888</v>
      </c>
      <c r="F438" s="33">
        <f>(C438*1.1238938053)+(-4.4)</f>
        <v>14.03185840692</v>
      </c>
      <c r="G438" s="33">
        <f>(C438*1.06194690265)+(-5.9)</f>
        <v>11.515929203459995</v>
      </c>
      <c r="H438" s="34">
        <f>(C438*1.19469026548)+(0)</f>
        <v>19.592920353872</v>
      </c>
      <c r="I438" s="34">
        <f>(C438*1.16814159292)+(-2)</f>
        <v>17.157522123888</v>
      </c>
      <c r="J438" s="34">
        <f>(C438*1.1238938053)+(-3.9)</f>
        <v>14.53185840692</v>
      </c>
      <c r="K438" s="34">
        <f>(C438*1.07964601769)+(-5.6)</f>
        <v>12.106194690116</v>
      </c>
    </row>
    <row r="439" spans="1:11" s="21" customFormat="1" ht="19.95" customHeight="1" x14ac:dyDescent="0.25">
      <c r="A439" s="13" t="str">
        <f>"15947"</f>
        <v>15947</v>
      </c>
      <c r="B439" s="14" t="s">
        <v>789</v>
      </c>
      <c r="C439" s="13" t="str">
        <f>"19.1"</f>
        <v>19.1</v>
      </c>
      <c r="D439" s="32">
        <f>(C439*1.24778761061)+(0.4)</f>
        <v>24.232743362651004</v>
      </c>
      <c r="E439" s="33">
        <f>(C439*1.16814159292)+(-1)</f>
        <v>21.311504424772004</v>
      </c>
      <c r="F439" s="33">
        <f>(C439*1.1238938053)+(-4.4)</f>
        <v>17.066371681230002</v>
      </c>
      <c r="G439" s="33">
        <f>(C439*1.06194690265)+(-5.9)</f>
        <v>14.383185840615001</v>
      </c>
      <c r="H439" s="34">
        <f>(C439*1.19469026548)+(0)</f>
        <v>22.818584070668003</v>
      </c>
      <c r="I439" s="34">
        <f>(C439*1.16814159292)+(-2)</f>
        <v>20.311504424772004</v>
      </c>
      <c r="J439" s="34">
        <f>(C439*1.1238938053)+(-3.9)</f>
        <v>17.566371681230002</v>
      </c>
      <c r="K439" s="34">
        <f>(C439*1.07964601769)+(-5.6)</f>
        <v>15.021238937879003</v>
      </c>
    </row>
    <row r="440" spans="1:11" s="21" customFormat="1" ht="19.95" customHeight="1" x14ac:dyDescent="0.25">
      <c r="A440" s="13" t="str">
        <f>"66346"</f>
        <v>66346</v>
      </c>
      <c r="B440" s="14" t="s">
        <v>790</v>
      </c>
      <c r="C440" s="13" t="str">
        <f>"23.0"</f>
        <v>23.0</v>
      </c>
      <c r="D440" s="32">
        <f>(C440*1.24778761061)+(0.4)</f>
        <v>29.09911504403</v>
      </c>
      <c r="E440" s="33">
        <f>(C440*1.16814159292)+(-1)</f>
        <v>25.867256637160001</v>
      </c>
      <c r="F440" s="33">
        <f>(C440*1.1238938053)+(-4.4)</f>
        <v>21.449557521899997</v>
      </c>
      <c r="G440" s="33">
        <f>(C440*1.06194690265)+(-5.9)</f>
        <v>18.524778760949999</v>
      </c>
      <c r="H440" s="34">
        <f>(C440*1.19469026548)+(0)</f>
        <v>27.47787610604</v>
      </c>
      <c r="I440" s="34">
        <f>(C440*1.16814159292)+(-2)</f>
        <v>24.867256637160001</v>
      </c>
      <c r="J440" s="34">
        <f>(C440*1.1238938053)+(-3.9)</f>
        <v>21.949557521900001</v>
      </c>
      <c r="K440" s="34">
        <f>(C440*1.07964601769)+(-5.6)</f>
        <v>19.231858406870003</v>
      </c>
    </row>
    <row r="441" spans="1:11" s="21" customFormat="1" ht="19.95" customHeight="1" x14ac:dyDescent="0.25">
      <c r="A441" s="13" t="str">
        <f>"15948"</f>
        <v>15948</v>
      </c>
      <c r="B441" s="14" t="s">
        <v>791</v>
      </c>
      <c r="C441" s="13" t="str">
        <f>"19.1"</f>
        <v>19.1</v>
      </c>
      <c r="D441" s="32">
        <f>(C441*1.24778761061)+(0.4)</f>
        <v>24.232743362651004</v>
      </c>
      <c r="E441" s="33">
        <f>(C441*1.16814159292)+(-1)</f>
        <v>21.311504424772004</v>
      </c>
      <c r="F441" s="33">
        <f>(C441*1.1238938053)+(-4.4)</f>
        <v>17.066371681230002</v>
      </c>
      <c r="G441" s="33">
        <f>(C441*1.06194690265)+(-5.9)</f>
        <v>14.383185840615001</v>
      </c>
      <c r="H441" s="34">
        <f>(C441*1.19469026548)+(0)</f>
        <v>22.818584070668003</v>
      </c>
      <c r="I441" s="34">
        <f>(C441*1.16814159292)+(-2)</f>
        <v>20.311504424772004</v>
      </c>
      <c r="J441" s="34">
        <f>(C441*1.1238938053)+(-3.9)</f>
        <v>17.566371681230002</v>
      </c>
      <c r="K441" s="34">
        <f>(C441*1.07964601769)+(-5.6)</f>
        <v>15.021238937879003</v>
      </c>
    </row>
    <row r="442" spans="1:11" s="21" customFormat="1" ht="19.95" customHeight="1" x14ac:dyDescent="0.25">
      <c r="A442" s="13" t="str">
        <f>"46435"</f>
        <v>46435</v>
      </c>
      <c r="B442" s="14" t="s">
        <v>792</v>
      </c>
      <c r="C442" s="13" t="str">
        <f>"15.4"</f>
        <v>15.4</v>
      </c>
      <c r="D442" s="32">
        <f>(C442*1.24778761061)+(0.4)</f>
        <v>19.615929203394</v>
      </c>
      <c r="E442" s="33">
        <f>(C442*1.16814159292)+(-1)</f>
        <v>16.989380530968003</v>
      </c>
      <c r="F442" s="33">
        <f>(C442*1.1238938053)+(-4.4)</f>
        <v>12.90796460162</v>
      </c>
      <c r="G442" s="33">
        <f>(C442*1.06194690265)+(-5.9)</f>
        <v>10.453982300809999</v>
      </c>
      <c r="H442" s="34">
        <f>(C442*1.19469026548)+(0)</f>
        <v>18.398230088392001</v>
      </c>
      <c r="I442" s="34">
        <f>(C442*1.16814159292)+(-2)</f>
        <v>15.989380530968003</v>
      </c>
      <c r="J442" s="34">
        <f>(C442*1.1238938053)+(-3.9)</f>
        <v>13.40796460162</v>
      </c>
      <c r="K442" s="34">
        <f>(C442*1.07964601769)+(-5.6)</f>
        <v>11.026548672426001</v>
      </c>
    </row>
    <row r="443" spans="1:11" s="21" customFormat="1" ht="19.95" customHeight="1" x14ac:dyDescent="0.25">
      <c r="A443" s="13" t="str">
        <f>"43134"</f>
        <v>43134</v>
      </c>
      <c r="B443" s="14" t="s">
        <v>793</v>
      </c>
      <c r="C443" s="13" t="str">
        <f>"11.2"</f>
        <v>11.2</v>
      </c>
      <c r="D443" s="32">
        <f>(C443*1.24778761061)+(0.4)</f>
        <v>14.375221238832001</v>
      </c>
      <c r="E443" s="33">
        <f>(C443*1.16814159292)+(-1)</f>
        <v>12.083185840704001</v>
      </c>
      <c r="F443" s="33">
        <f>(C443*1.1238938053)+(-4.4)</f>
        <v>8.1876106193599991</v>
      </c>
      <c r="G443" s="33">
        <f>(C443*1.06194690265)+(-5.9)</f>
        <v>5.9938053096799973</v>
      </c>
      <c r="H443" s="34">
        <f>(C443*1.19469026548)+(0)</f>
        <v>13.380530973375999</v>
      </c>
      <c r="I443" s="34">
        <f>(C443*1.16814159292)+(-2)</f>
        <v>11.083185840704001</v>
      </c>
      <c r="J443" s="34">
        <f>(C443*1.1238938053)+(-3.9)</f>
        <v>8.6876106193599991</v>
      </c>
      <c r="K443" s="34">
        <f>(C443*1.07964601769)+(-5.6)</f>
        <v>6.4920353981279995</v>
      </c>
    </row>
    <row r="444" spans="1:11" s="21" customFormat="1" ht="19.95" customHeight="1" x14ac:dyDescent="0.25">
      <c r="A444" s="13" t="str">
        <f>"71775"</f>
        <v>71775</v>
      </c>
      <c r="B444" s="14" t="s">
        <v>1920</v>
      </c>
      <c r="C444" s="13" t="str">
        <f>"13.3"</f>
        <v>13.3</v>
      </c>
      <c r="D444" s="32">
        <f>(C444*1.24778761061)+(0.4)</f>
        <v>16.995575221113</v>
      </c>
      <c r="E444" s="33">
        <f>(C444*1.16814159292)+(-1)</f>
        <v>14.536283185836002</v>
      </c>
      <c r="F444" s="33">
        <f>(C444*1.1238938053)+(-4.4)</f>
        <v>10.547787610490001</v>
      </c>
      <c r="G444" s="33">
        <f>(C444*1.06194690265)+(-5.9)</f>
        <v>8.2238938052449999</v>
      </c>
      <c r="H444" s="34">
        <f>(C444*1.19469026548)+(0)</f>
        <v>15.889380530884001</v>
      </c>
      <c r="I444" s="34">
        <f>(C444*1.16814159292)+(-2)</f>
        <v>13.536283185836002</v>
      </c>
      <c r="J444" s="34">
        <f>(C444*1.1238938053)+(-3.9)</f>
        <v>11.047787610490001</v>
      </c>
      <c r="K444" s="34">
        <f>(C444*1.07964601769)+(-5.6)</f>
        <v>8.7592920352770012</v>
      </c>
    </row>
    <row r="445" spans="1:11" s="21" customFormat="1" ht="19.95" customHeight="1" x14ac:dyDescent="0.25">
      <c r="A445" s="13" t="str">
        <f>"15955"</f>
        <v>15955</v>
      </c>
      <c r="B445" s="14" t="s">
        <v>794</v>
      </c>
      <c r="C445" s="13" t="str">
        <f>"11.2"</f>
        <v>11.2</v>
      </c>
      <c r="D445" s="32">
        <f>(C445*1.24778761061)+(0.4)</f>
        <v>14.375221238832001</v>
      </c>
      <c r="E445" s="33">
        <f>(C445*1.16814159292)+(-1)</f>
        <v>12.083185840704001</v>
      </c>
      <c r="F445" s="33">
        <f>(C445*1.1238938053)+(-4.4)</f>
        <v>8.1876106193599991</v>
      </c>
      <c r="G445" s="33">
        <f>(C445*1.06194690265)+(-5.9)</f>
        <v>5.9938053096799973</v>
      </c>
      <c r="H445" s="34">
        <f>(C445*1.19469026548)+(0)</f>
        <v>13.380530973375999</v>
      </c>
      <c r="I445" s="34">
        <f>(C445*1.16814159292)+(-2)</f>
        <v>11.083185840704001</v>
      </c>
      <c r="J445" s="34">
        <f>(C445*1.1238938053)+(-3.9)</f>
        <v>8.6876106193599991</v>
      </c>
      <c r="K445" s="34">
        <f>(C445*1.07964601769)+(-5.6)</f>
        <v>6.4920353981279995</v>
      </c>
    </row>
    <row r="446" spans="1:11" s="21" customFormat="1" ht="19.95" customHeight="1" x14ac:dyDescent="0.25">
      <c r="A446" s="13" t="str">
        <f>"81391"</f>
        <v>81391</v>
      </c>
      <c r="B446" s="14" t="s">
        <v>795</v>
      </c>
      <c r="C446" s="13" t="str">
        <f>"21.5"</f>
        <v>21.5</v>
      </c>
      <c r="D446" s="32">
        <f>(C446*1.24778761061)+(0.4)</f>
        <v>27.227433628115001</v>
      </c>
      <c r="E446" s="33">
        <f>(C446*1.16814159292)+(-1)</f>
        <v>24.115044247780002</v>
      </c>
      <c r="F446" s="33">
        <f>(C446*1.1238938053)+(-4.4)</f>
        <v>19.763716813949998</v>
      </c>
      <c r="G446" s="33">
        <f>(C446*1.06194690265)+(-5.9)</f>
        <v>16.931858406974996</v>
      </c>
      <c r="H446" s="34">
        <f>(C446*1.19469026548)+(0)</f>
        <v>25.685840707819999</v>
      </c>
      <c r="I446" s="34">
        <f>(C446*1.16814159292)+(-2)</f>
        <v>23.115044247780002</v>
      </c>
      <c r="J446" s="34">
        <f>(C446*1.1238938053)+(-3.9)</f>
        <v>20.263716813950001</v>
      </c>
      <c r="K446" s="34">
        <f>(C446*1.07964601769)+(-5.6)</f>
        <v>17.612389380335003</v>
      </c>
    </row>
    <row r="447" spans="1:11" s="21" customFormat="1" ht="19.95" customHeight="1" x14ac:dyDescent="0.25">
      <c r="A447" s="13" t="str">
        <f>"36045"</f>
        <v>36045</v>
      </c>
      <c r="B447" s="14" t="s">
        <v>796</v>
      </c>
      <c r="C447" s="13" t="str">
        <f>"14.0"</f>
        <v>14.0</v>
      </c>
      <c r="D447" s="32">
        <f>(C447*1.24778761061)+(0.4)</f>
        <v>17.869026548539999</v>
      </c>
      <c r="E447" s="33">
        <f>(C447*1.16814159292)+(-1)</f>
        <v>15.353982300880002</v>
      </c>
      <c r="F447" s="33">
        <f>(C447*1.1238938053)+(-4.4)</f>
        <v>11.334513274200001</v>
      </c>
      <c r="G447" s="33">
        <f>(C447*1.06194690265)+(-5.9)</f>
        <v>8.9672566370999984</v>
      </c>
      <c r="H447" s="34">
        <f>(C447*1.19469026548)+(0)</f>
        <v>16.72566371672</v>
      </c>
      <c r="I447" s="34">
        <f>(C447*1.16814159292)+(-2)</f>
        <v>14.353982300880002</v>
      </c>
      <c r="J447" s="34">
        <f>(C447*1.1238938053)+(-3.9)</f>
        <v>11.834513274200001</v>
      </c>
      <c r="K447" s="34">
        <f>(C447*1.07964601769)+(-5.6)</f>
        <v>9.5150442476600006</v>
      </c>
    </row>
    <row r="448" spans="1:11" s="21" customFormat="1" ht="19.95" customHeight="1" x14ac:dyDescent="0.25">
      <c r="A448" s="13" t="str">
        <f>"7563"</f>
        <v>7563</v>
      </c>
      <c r="B448" s="14" t="s">
        <v>797</v>
      </c>
      <c r="C448" s="13" t="str">
        <f>"11.5"</f>
        <v>11.5</v>
      </c>
      <c r="D448" s="32">
        <f>(C448*1.24778761061)+(0.4)</f>
        <v>14.749557522015001</v>
      </c>
      <c r="E448" s="33">
        <f>(C448*1.16814159292)+(-1)</f>
        <v>12.43362831858</v>
      </c>
      <c r="F448" s="33">
        <f>(C448*1.1238938053)+(-4.4)</f>
        <v>8.5247787609499994</v>
      </c>
      <c r="G448" s="33">
        <f>(C448*1.06194690265)+(-5.9)</f>
        <v>6.3123893804749986</v>
      </c>
      <c r="H448" s="34">
        <f>(C448*1.19469026548)+(0)</f>
        <v>13.73893805302</v>
      </c>
      <c r="I448" s="34">
        <f>(C448*1.16814159292)+(-2)</f>
        <v>11.43362831858</v>
      </c>
      <c r="J448" s="34">
        <f>(C448*1.1238938053)+(-3.9)</f>
        <v>9.0247787609499994</v>
      </c>
      <c r="K448" s="34">
        <f>(C448*1.07964601769)+(-5.6)</f>
        <v>6.815929203435001</v>
      </c>
    </row>
    <row r="449" spans="1:11" s="21" customFormat="1" ht="19.95" customHeight="1" x14ac:dyDescent="0.25">
      <c r="A449" s="13" t="str">
        <f>"66445"</f>
        <v>66445</v>
      </c>
      <c r="B449" s="14" t="s">
        <v>798</v>
      </c>
      <c r="C449" s="13" t="str">
        <f>"18.0"</f>
        <v>18.0</v>
      </c>
      <c r="D449" s="32">
        <f>(C449*1.24778761061)+(0.4)</f>
        <v>22.860176990980001</v>
      </c>
      <c r="E449" s="33">
        <f>(C449*1.16814159292)+(-1)</f>
        <v>20.026548672560001</v>
      </c>
      <c r="F449" s="33">
        <f>(C449*1.1238938053)+(-4.4)</f>
        <v>15.8300884954</v>
      </c>
      <c r="G449" s="33">
        <f>(C449*1.06194690265)+(-5.9)</f>
        <v>13.215044247699998</v>
      </c>
      <c r="H449" s="34">
        <f>(C449*1.19469026548)+(0)</f>
        <v>21.504424778640001</v>
      </c>
      <c r="I449" s="34">
        <f>(C449*1.16814159292)+(-2)</f>
        <v>19.026548672560001</v>
      </c>
      <c r="J449" s="34">
        <f>(C449*1.1238938053)+(-3.9)</f>
        <v>16.330088495400002</v>
      </c>
      <c r="K449" s="34">
        <f>(C449*1.07964601769)+(-5.6)</f>
        <v>13.833628318419999</v>
      </c>
    </row>
    <row r="450" spans="1:11" s="21" customFormat="1" ht="19.95" customHeight="1" x14ac:dyDescent="0.25">
      <c r="A450" s="13" t="str">
        <f>"46573"</f>
        <v>46573</v>
      </c>
      <c r="B450" s="14" t="s">
        <v>799</v>
      </c>
      <c r="C450" s="13" t="str">
        <f>"17.3"</f>
        <v>17.3</v>
      </c>
      <c r="D450" s="32">
        <f>(C450*1.24778761061)+(0.4)</f>
        <v>21.986725663553003</v>
      </c>
      <c r="E450" s="33">
        <f>(C450*1.16814159292)+(-1)</f>
        <v>19.208849557516004</v>
      </c>
      <c r="F450" s="33">
        <f>(C450*1.1238938053)+(-4.4)</f>
        <v>15.043362831690002</v>
      </c>
      <c r="G450" s="33">
        <f>(C450*1.06194690265)+(-5.9)</f>
        <v>12.471681415845</v>
      </c>
      <c r="H450" s="34">
        <f>(C450*1.19469026548)+(0)</f>
        <v>20.668141592804002</v>
      </c>
      <c r="I450" s="34">
        <f>(C450*1.16814159292)+(-2)</f>
        <v>18.208849557516004</v>
      </c>
      <c r="J450" s="34">
        <f>(C450*1.1238938053)+(-3.9)</f>
        <v>15.543362831690002</v>
      </c>
      <c r="K450" s="34">
        <f>(C450*1.07964601769)+(-5.6)</f>
        <v>13.077876106037001</v>
      </c>
    </row>
    <row r="451" spans="1:11" s="21" customFormat="1" ht="19.95" customHeight="1" x14ac:dyDescent="0.25">
      <c r="A451" s="13" t="str">
        <f>"15963"</f>
        <v>15963</v>
      </c>
      <c r="B451" s="14" t="s">
        <v>800</v>
      </c>
      <c r="C451" s="13" t="str">
        <f>"5.2"</f>
        <v>5.2</v>
      </c>
      <c r="D451" s="32">
        <f>(C451*1.24778761061)+(0.4)</f>
        <v>6.8884955751720014</v>
      </c>
      <c r="E451" s="33">
        <f>(C451*1.16814159292)+(-1)</f>
        <v>5.0743362831840004</v>
      </c>
      <c r="F451" s="33">
        <f>(C451*1.1238938053)+(-4.4)</f>
        <v>1.4442477875600002</v>
      </c>
      <c r="G451" s="33">
        <f>(C451*1.06194690265)+(-5.9)</f>
        <v>-0.37787610622000045</v>
      </c>
      <c r="H451" s="34">
        <f>(C451*1.19469026548)+(0)</f>
        <v>6.212389380496</v>
      </c>
      <c r="I451" s="34">
        <f>(C451*1.16814159292)+(-2)</f>
        <v>4.0743362831840004</v>
      </c>
      <c r="J451" s="34">
        <f>(C451*1.1238938053)+(-3.9)</f>
        <v>1.9442477875600006</v>
      </c>
      <c r="K451" s="34">
        <f>(C451*1.07964601769)+(-5.6)</f>
        <v>1.4159291988000255E-2</v>
      </c>
    </row>
    <row r="452" spans="1:11" s="21" customFormat="1" ht="19.95" customHeight="1" x14ac:dyDescent="0.25">
      <c r="A452" s="13" t="str">
        <f>"15964"</f>
        <v>15964</v>
      </c>
      <c r="B452" s="14" t="s">
        <v>801</v>
      </c>
      <c r="C452" s="13" t="str">
        <f>"13.6"</f>
        <v>13.6</v>
      </c>
      <c r="D452" s="32">
        <f>(C452*1.24778761061)+(0.4)</f>
        <v>17.369911504295999</v>
      </c>
      <c r="E452" s="33">
        <f>(C452*1.16814159292)+(-1)</f>
        <v>14.886725663712001</v>
      </c>
      <c r="F452" s="33">
        <f>(C452*1.1238938053)+(-4.4)</f>
        <v>10.88495575208</v>
      </c>
      <c r="G452" s="33">
        <f>(C452*1.06194690265)+(-5.9)</f>
        <v>8.5424778760399978</v>
      </c>
      <c r="H452" s="34">
        <f>(C452*1.19469026548)+(0)</f>
        <v>16.247787610528</v>
      </c>
      <c r="I452" s="34">
        <f>(C452*1.16814159292)+(-2)</f>
        <v>13.886725663712001</v>
      </c>
      <c r="J452" s="34">
        <f>(C452*1.1238938053)+(-3.9)</f>
        <v>11.38495575208</v>
      </c>
      <c r="K452" s="34">
        <f>(C452*1.07964601769)+(-5.6)</f>
        <v>9.0831858405840009</v>
      </c>
    </row>
    <row r="453" spans="1:11" s="21" customFormat="1" ht="19.95" customHeight="1" x14ac:dyDescent="0.25">
      <c r="A453" s="13" t="str">
        <f>"15965"</f>
        <v>15965</v>
      </c>
      <c r="B453" s="14" t="s">
        <v>802</v>
      </c>
      <c r="C453" s="13" t="str">
        <f>"10.3"</f>
        <v>10.3</v>
      </c>
      <c r="D453" s="32">
        <f>(C453*1.24778761061)+(0.4)</f>
        <v>13.252212389283002</v>
      </c>
      <c r="E453" s="33">
        <f>(C453*1.16814159292)+(-1)</f>
        <v>11.031858407076001</v>
      </c>
      <c r="F453" s="33">
        <f>(C453*1.1238938053)+(-4.4)</f>
        <v>7.1761061945900018</v>
      </c>
      <c r="G453" s="33">
        <f>(C453*1.06194690265)+(-5.9)</f>
        <v>5.0380530972950002</v>
      </c>
      <c r="H453" s="34">
        <f>(C453*1.19469026548)+(0)</f>
        <v>12.305309734444</v>
      </c>
      <c r="I453" s="34">
        <f>(C453*1.16814159292)+(-2)</f>
        <v>10.031858407076001</v>
      </c>
      <c r="J453" s="34">
        <f>(C453*1.1238938053)+(-3.9)</f>
        <v>7.6761061945900018</v>
      </c>
      <c r="K453" s="34">
        <f>(C453*1.07964601769)+(-5.6)</f>
        <v>5.520353982207002</v>
      </c>
    </row>
    <row r="454" spans="1:11" s="21" customFormat="1" ht="19.95" customHeight="1" x14ac:dyDescent="0.25">
      <c r="A454" s="13" t="str">
        <f>"1001679"</f>
        <v>1001679</v>
      </c>
      <c r="B454" s="14" t="s">
        <v>803</v>
      </c>
      <c r="C454" s="13" t="str">
        <f>"2.0"</f>
        <v>2.0</v>
      </c>
      <c r="D454" s="32">
        <f>(C454*1.24778761061)+(0.4)</f>
        <v>2.8955752212200001</v>
      </c>
      <c r="E454" s="33">
        <f>(C454*1.16814159292)+(-1)</f>
        <v>1.3362831858400002</v>
      </c>
      <c r="F454" s="33">
        <f>(C454*1.1238938053)+(-4.4)</f>
        <v>-2.1522123894000003</v>
      </c>
      <c r="G454" s="33">
        <f>(C454*1.06194690265)+(-5.9)</f>
        <v>-3.7761061947000005</v>
      </c>
      <c r="H454" s="34">
        <f>(C454*1.19469026548)+(0)</f>
        <v>2.38938053096</v>
      </c>
      <c r="I454" s="34">
        <f>(C454*1.16814159292)+(-2)</f>
        <v>0.33628318584000017</v>
      </c>
      <c r="J454" s="34">
        <f>(C454*1.1238938053)+(-3.9)</f>
        <v>-1.6522123893999998</v>
      </c>
      <c r="K454" s="34">
        <f>(C454*1.07964601769)+(-5.6)</f>
        <v>-3.4407079646199996</v>
      </c>
    </row>
    <row r="455" spans="1:11" s="21" customFormat="1" ht="19.95" customHeight="1" x14ac:dyDescent="0.25">
      <c r="A455" s="13" t="str">
        <f>"67814"</f>
        <v>67814</v>
      </c>
      <c r="B455" s="14" t="s">
        <v>804</v>
      </c>
      <c r="C455" s="13" t="str">
        <f>"31.7"</f>
        <v>31.7</v>
      </c>
      <c r="D455" s="32">
        <f>(C455*1.24778761061)+(0.4)</f>
        <v>39.954867256337003</v>
      </c>
      <c r="E455" s="33">
        <f>(C455*1.16814159292)+(-1)</f>
        <v>36.030088495564002</v>
      </c>
      <c r="F455" s="33">
        <f>(C455*1.1238938053)+(-4.4)</f>
        <v>31.227433628010004</v>
      </c>
      <c r="G455" s="33">
        <f>(C455*1.06194690265)+(-5.9)</f>
        <v>27.763716814005001</v>
      </c>
      <c r="H455" s="34">
        <f>(C455*1.19469026548)+(0)</f>
        <v>37.871681415715997</v>
      </c>
      <c r="I455" s="34">
        <f>(C455*1.16814159292)+(-2)</f>
        <v>35.030088495564002</v>
      </c>
      <c r="J455" s="34">
        <f>(C455*1.1238938053)+(-3.9)</f>
        <v>31.727433628010004</v>
      </c>
      <c r="K455" s="34">
        <f>(C455*1.07964601769)+(-5.6)</f>
        <v>28.624778760772998</v>
      </c>
    </row>
    <row r="456" spans="1:11" s="21" customFormat="1" ht="19.95" customHeight="1" x14ac:dyDescent="0.25">
      <c r="A456" s="13" t="str">
        <f>"15968"</f>
        <v>15968</v>
      </c>
      <c r="B456" s="14" t="s">
        <v>805</v>
      </c>
      <c r="C456" s="13" t="str">
        <f>"18.5"</f>
        <v>18.5</v>
      </c>
      <c r="D456" s="32">
        <f>(C456*1.24778761061)+(0.4)</f>
        <v>23.484070796285</v>
      </c>
      <c r="E456" s="33">
        <f>(C456*1.16814159292)+(-1)</f>
        <v>20.610619469020001</v>
      </c>
      <c r="F456" s="33">
        <f>(C456*1.1238938053)+(-4.4)</f>
        <v>16.392035398049998</v>
      </c>
      <c r="G456" s="33">
        <f>(C456*1.06194690265)+(-5.9)</f>
        <v>13.746017699024998</v>
      </c>
      <c r="H456" s="34">
        <f>(C456*1.19469026548)+(0)</f>
        <v>22.10176991138</v>
      </c>
      <c r="I456" s="34">
        <f>(C456*1.16814159292)+(-2)</f>
        <v>19.610619469020001</v>
      </c>
      <c r="J456" s="34">
        <f>(C456*1.1238938053)+(-3.9)</f>
        <v>16.892035398050002</v>
      </c>
      <c r="K456" s="34">
        <f>(C456*1.07964601769)+(-5.6)</f>
        <v>14.373451327265</v>
      </c>
    </row>
    <row r="457" spans="1:11" s="21" customFormat="1" ht="19.95" customHeight="1" x14ac:dyDescent="0.25">
      <c r="A457" s="13" t="str">
        <f>"15969"</f>
        <v>15969</v>
      </c>
      <c r="B457" s="14" t="s">
        <v>806</v>
      </c>
      <c r="C457" s="13" t="str">
        <f>"23.8"</f>
        <v>23.8</v>
      </c>
      <c r="D457" s="32">
        <f>(C457*1.24778761061)+(0.4)</f>
        <v>30.097345132518001</v>
      </c>
      <c r="E457" s="33">
        <f>(C457*1.16814159292)+(-1)</f>
        <v>26.801769911496002</v>
      </c>
      <c r="F457" s="33">
        <f>(C457*1.1238938053)+(-4.4)</f>
        <v>22.348672566140003</v>
      </c>
      <c r="G457" s="33">
        <f>(C457*1.06194690265)+(-5.9)</f>
        <v>19.374336283070001</v>
      </c>
      <c r="H457" s="34">
        <f>(C457*1.19469026548)+(0)</f>
        <v>28.433628318424002</v>
      </c>
      <c r="I457" s="34">
        <f>(C457*1.16814159292)+(-2)</f>
        <v>25.801769911496002</v>
      </c>
      <c r="J457" s="34">
        <f>(C457*1.1238938053)+(-3.9)</f>
        <v>22.848672566140003</v>
      </c>
      <c r="K457" s="34">
        <f>(C457*1.07964601769)+(-5.6)</f>
        <v>20.095575221022003</v>
      </c>
    </row>
    <row r="458" spans="1:11" s="21" customFormat="1" ht="19.95" customHeight="1" x14ac:dyDescent="0.25">
      <c r="A458" s="13" t="str">
        <f>"15970"</f>
        <v>15970</v>
      </c>
      <c r="B458" s="14" t="s">
        <v>807</v>
      </c>
      <c r="C458" s="13" t="str">
        <f>"20.3"</f>
        <v>20.3</v>
      </c>
      <c r="D458" s="32">
        <f>(C458*1.24778761061)+(0.4)</f>
        <v>25.730088495383001</v>
      </c>
      <c r="E458" s="33">
        <f>(C458*1.16814159292)+(-1)</f>
        <v>22.713274336276001</v>
      </c>
      <c r="F458" s="33">
        <f>(C458*1.1238938053)+(-4.4)</f>
        <v>18.415044247590004</v>
      </c>
      <c r="G458" s="33">
        <f>(C458*1.06194690265)+(-5.9)</f>
        <v>15.657522123794999</v>
      </c>
      <c r="H458" s="34">
        <f>(C458*1.19469026548)+(0)</f>
        <v>24.252212389244001</v>
      </c>
      <c r="I458" s="34">
        <f>(C458*1.16814159292)+(-2)</f>
        <v>21.713274336276001</v>
      </c>
      <c r="J458" s="34">
        <f>(C458*1.1238938053)+(-3.9)</f>
        <v>18.915044247590004</v>
      </c>
      <c r="K458" s="34">
        <f>(C458*1.07964601769)+(-5.6)</f>
        <v>16.316814159107004</v>
      </c>
    </row>
    <row r="459" spans="1:11" s="21" customFormat="1" ht="19.95" customHeight="1" x14ac:dyDescent="0.25">
      <c r="A459" s="13" t="str">
        <f>"49905"</f>
        <v>49905</v>
      </c>
      <c r="B459" s="14" t="s">
        <v>808</v>
      </c>
      <c r="C459" s="13" t="str">
        <f>"5.9"</f>
        <v>5.9</v>
      </c>
      <c r="D459" s="32">
        <f>(C459*1.24778761061)+(0.4)</f>
        <v>7.7619469025990018</v>
      </c>
      <c r="E459" s="33">
        <f>(C459*1.16814159292)+(-1)</f>
        <v>5.8920353982280007</v>
      </c>
      <c r="F459" s="33">
        <f>(C459*1.1238938053)+(-4.4)</f>
        <v>2.2309734512700006</v>
      </c>
      <c r="G459" s="33">
        <f>(C459*1.06194690265)+(-5.9)</f>
        <v>0.36548672563499984</v>
      </c>
      <c r="H459" s="34">
        <f>(C459*1.19469026548)+(0)</f>
        <v>7.0486725663320007</v>
      </c>
      <c r="I459" s="34">
        <f>(C459*1.16814159292)+(-2)</f>
        <v>4.8920353982280007</v>
      </c>
      <c r="J459" s="34">
        <f>(C459*1.1238938053)+(-3.9)</f>
        <v>2.730973451270001</v>
      </c>
      <c r="K459" s="34">
        <f>(C459*1.07964601769)+(-5.6)</f>
        <v>0.76991150437100053</v>
      </c>
    </row>
    <row r="460" spans="1:11" s="21" customFormat="1" ht="19.95" customHeight="1" x14ac:dyDescent="0.25">
      <c r="A460" s="13" t="str">
        <f>"15971"</f>
        <v>15971</v>
      </c>
      <c r="B460" s="14" t="s">
        <v>809</v>
      </c>
      <c r="C460" s="13" t="str">
        <f>"30.0"</f>
        <v>30.0</v>
      </c>
      <c r="D460" s="32">
        <f>(C460*1.24778761061)+(0.4)</f>
        <v>37.833628318300001</v>
      </c>
      <c r="E460" s="33">
        <f>(C460*1.16814159292)+(-1)</f>
        <v>34.0442477876</v>
      </c>
      <c r="F460" s="33">
        <f>(C460*1.1238938053)+(-4.4)</f>
        <v>29.316814159000003</v>
      </c>
      <c r="G460" s="33">
        <f>(C460*1.06194690265)+(-5.9)</f>
        <v>25.958407079499999</v>
      </c>
      <c r="H460" s="34">
        <f>(C460*1.19469026548)+(0)</f>
        <v>35.840707964400004</v>
      </c>
      <c r="I460" s="34">
        <f>(C460*1.16814159292)+(-2)</f>
        <v>33.0442477876</v>
      </c>
      <c r="J460" s="34">
        <f>(C460*1.1238938053)+(-3.9)</f>
        <v>29.816814159000003</v>
      </c>
      <c r="K460" s="34">
        <f>(C460*1.07964601769)+(-5.6)</f>
        <v>26.789380530700001</v>
      </c>
    </row>
    <row r="461" spans="1:11" s="21" customFormat="1" ht="19.95" customHeight="1" x14ac:dyDescent="0.25">
      <c r="A461" s="13" t="str">
        <f>"1011787"</f>
        <v>1011787</v>
      </c>
      <c r="B461" s="14" t="s">
        <v>810</v>
      </c>
      <c r="C461" s="13" t="str">
        <f>"19.9"</f>
        <v>19.9</v>
      </c>
      <c r="D461" s="32">
        <f>(C461*1.24778761061)+(0.4)</f>
        <v>25.230973451139</v>
      </c>
      <c r="E461" s="33">
        <f>(C461*1.16814159292)+(-1)</f>
        <v>22.246017699107998</v>
      </c>
      <c r="F461" s="33">
        <f>(C461*1.1238938053)+(-4.4)</f>
        <v>17.965486725470001</v>
      </c>
      <c r="G461" s="33">
        <f>(C461*1.06194690265)+(-5.9)</f>
        <v>15.232743362734995</v>
      </c>
      <c r="H461" s="34">
        <f>(C461*1.19469026548)+(0)</f>
        <v>23.774336283051998</v>
      </c>
      <c r="I461" s="34">
        <f>(C461*1.16814159292)+(-2)</f>
        <v>21.246017699107998</v>
      </c>
      <c r="J461" s="34">
        <f>(C461*1.1238938053)+(-3.9)</f>
        <v>18.465486725470001</v>
      </c>
      <c r="K461" s="34">
        <f>(C461*1.07964601769)+(-5.6)</f>
        <v>15.884955752030999</v>
      </c>
    </row>
    <row r="462" spans="1:11" s="21" customFormat="1" ht="19.95" customHeight="1" x14ac:dyDescent="0.25">
      <c r="A462" s="13" t="str">
        <f>"67849"</f>
        <v>67849</v>
      </c>
      <c r="B462" s="14" t="s">
        <v>811</v>
      </c>
      <c r="C462" s="13" t="str">
        <f>"22.1"</f>
        <v>22.1</v>
      </c>
      <c r="D462" s="32">
        <f>(C462*1.24778761061)+(0.4)</f>
        <v>27.976106194481002</v>
      </c>
      <c r="E462" s="33">
        <f>(C462*1.16814159292)+(-1)</f>
        <v>24.815929203532004</v>
      </c>
      <c r="F462" s="33">
        <f>(C462*1.1238938053)+(-4.4)</f>
        <v>20.438053097130002</v>
      </c>
      <c r="G462" s="33">
        <f>(C462*1.06194690265)+(-5.9)</f>
        <v>17.569026548564999</v>
      </c>
      <c r="H462" s="34">
        <f>(C462*1.19469026548)+(0)</f>
        <v>26.402654867108001</v>
      </c>
      <c r="I462" s="34">
        <f>(C462*1.16814159292)+(-2)</f>
        <v>23.815929203532004</v>
      </c>
      <c r="J462" s="34">
        <f>(C462*1.1238938053)+(-3.9)</f>
        <v>20.938053097130005</v>
      </c>
      <c r="K462" s="34">
        <f>(C462*1.07964601769)+(-5.6)</f>
        <v>18.260176990948999</v>
      </c>
    </row>
    <row r="463" spans="1:11" s="21" customFormat="1" ht="19.95" customHeight="1" x14ac:dyDescent="0.25">
      <c r="A463" s="13" t="str">
        <f>"15973"</f>
        <v>15973</v>
      </c>
      <c r="B463" s="14" t="s">
        <v>812</v>
      </c>
      <c r="C463" s="13" t="str">
        <f>"24.8"</f>
        <v>24.8</v>
      </c>
      <c r="D463" s="32">
        <f>(C463*1.24778761061)+(0.4)</f>
        <v>31.345132743128001</v>
      </c>
      <c r="E463" s="33">
        <f>(C463*1.16814159292)+(-1)</f>
        <v>27.969911504416004</v>
      </c>
      <c r="F463" s="33">
        <f>(C463*1.1238938053)+(-4.4)</f>
        <v>23.472566371440003</v>
      </c>
      <c r="G463" s="33">
        <f>(C463*1.06194690265)+(-5.9)</f>
        <v>20.436283185720001</v>
      </c>
      <c r="H463" s="34">
        <f>(C463*1.19469026548)+(0)</f>
        <v>29.628318583904001</v>
      </c>
      <c r="I463" s="34">
        <f>(C463*1.16814159292)+(-2)</f>
        <v>26.969911504416004</v>
      </c>
      <c r="J463" s="34">
        <f>(C463*1.1238938053)+(-3.9)</f>
        <v>23.972566371440003</v>
      </c>
      <c r="K463" s="34">
        <f>(C463*1.07964601769)+(-5.6)</f>
        <v>21.175221238711998</v>
      </c>
    </row>
    <row r="464" spans="1:11" s="21" customFormat="1" ht="19.95" customHeight="1" x14ac:dyDescent="0.25">
      <c r="A464" s="13" t="str">
        <f>"1007816"</f>
        <v>1007816</v>
      </c>
      <c r="B464" s="14" t="s">
        <v>813</v>
      </c>
      <c r="C464" s="13" t="str">
        <f>"27.2"</f>
        <v>27.2</v>
      </c>
      <c r="D464" s="32">
        <f>(C464*1.24778761061)+(0.4)</f>
        <v>34.339823008591999</v>
      </c>
      <c r="E464" s="33">
        <f>(C464*1.16814159292)+(-1)</f>
        <v>30.773451327424002</v>
      </c>
      <c r="F464" s="33">
        <f>(C464*1.1238938053)+(-4.4)</f>
        <v>26.169911504159998</v>
      </c>
      <c r="G464" s="33">
        <f>(C464*1.06194690265)+(-5.9)</f>
        <v>22.984955752079998</v>
      </c>
      <c r="H464" s="34">
        <f>(C464*1.19469026548)+(0)</f>
        <v>32.495575221056001</v>
      </c>
      <c r="I464" s="34">
        <f>(C464*1.16814159292)+(-2)</f>
        <v>29.773451327424002</v>
      </c>
      <c r="J464" s="34">
        <f>(C464*1.1238938053)+(-3.9)</f>
        <v>26.669911504160002</v>
      </c>
      <c r="K464" s="34">
        <f>(C464*1.07964601769)+(-5.6)</f>
        <v>23.766371681168003</v>
      </c>
    </row>
    <row r="465" spans="1:11" s="21" customFormat="1" ht="19.95" customHeight="1" x14ac:dyDescent="0.25">
      <c r="A465" s="13" t="str">
        <f>"15976"</f>
        <v>15976</v>
      </c>
      <c r="B465" s="14" t="s">
        <v>814</v>
      </c>
      <c r="C465" s="13" t="str">
        <f>"13.0"</f>
        <v>13.0</v>
      </c>
      <c r="D465" s="32">
        <f>(C465*1.24778761061)+(0.4)</f>
        <v>16.621238937929999</v>
      </c>
      <c r="E465" s="33">
        <f>(C465*1.16814159292)+(-1)</f>
        <v>14.185840707960001</v>
      </c>
      <c r="F465" s="33">
        <f>(C465*1.1238938053)+(-4.4)</f>
        <v>10.210619468900001</v>
      </c>
      <c r="G465" s="33">
        <f>(C465*1.06194690265)+(-5.9)</f>
        <v>7.9053097344499985</v>
      </c>
      <c r="H465" s="34">
        <f>(C465*1.19469026548)+(0)</f>
        <v>15.53097345124</v>
      </c>
      <c r="I465" s="34">
        <f>(C465*1.16814159292)+(-2)</f>
        <v>13.185840707960001</v>
      </c>
      <c r="J465" s="34">
        <f>(C465*1.1238938053)+(-3.9)</f>
        <v>10.710619468900001</v>
      </c>
      <c r="K465" s="34">
        <f>(C465*1.07964601769)+(-5.6)</f>
        <v>8.4353982299699997</v>
      </c>
    </row>
    <row r="466" spans="1:11" s="21" customFormat="1" ht="19.95" customHeight="1" x14ac:dyDescent="0.25">
      <c r="A466" s="13" t="str">
        <f>"15977"</f>
        <v>15977</v>
      </c>
      <c r="B466" s="14" t="s">
        <v>815</v>
      </c>
      <c r="C466" s="13" t="str">
        <f>"31.9"</f>
        <v>31.9</v>
      </c>
      <c r="D466" s="32">
        <f>(C466*1.24778761061)+(0.4)</f>
        <v>40.204424778459</v>
      </c>
      <c r="E466" s="33">
        <f>(C466*1.16814159292)+(-1)</f>
        <v>36.263716814147998</v>
      </c>
      <c r="F466" s="33">
        <f>(C466*1.1238938053)+(-4.4)</f>
        <v>31.452212389069999</v>
      </c>
      <c r="G466" s="33">
        <f>(C466*1.06194690265)+(-5.9)</f>
        <v>27.976106194534999</v>
      </c>
      <c r="H466" s="34">
        <f>(C466*1.19469026548)+(0)</f>
        <v>38.110619468811997</v>
      </c>
      <c r="I466" s="34">
        <f>(C466*1.16814159292)+(-2)</f>
        <v>35.263716814147998</v>
      </c>
      <c r="J466" s="34">
        <f>(C466*1.1238938053)+(-3.9)</f>
        <v>31.952212389069999</v>
      </c>
      <c r="K466" s="34">
        <f>(C466*1.07964601769)+(-5.6)</f>
        <v>28.840707964311001</v>
      </c>
    </row>
    <row r="467" spans="1:11" s="21" customFormat="1" ht="19.95" customHeight="1" x14ac:dyDescent="0.25">
      <c r="A467" s="13" t="str">
        <f>"73756"</f>
        <v>73756</v>
      </c>
      <c r="B467" s="14" t="s">
        <v>816</v>
      </c>
      <c r="C467" s="13" t="str">
        <f>"17.5"</f>
        <v>17.5</v>
      </c>
      <c r="D467" s="32">
        <f>(C467*1.24778761061)+(0.4)</f>
        <v>22.236283185674999</v>
      </c>
      <c r="E467" s="33">
        <f>(C467*1.16814159292)+(-1)</f>
        <v>19.4424778761</v>
      </c>
      <c r="F467" s="33">
        <f>(C467*1.1238938053)+(-4.4)</f>
        <v>15.26814159275</v>
      </c>
      <c r="G467" s="33">
        <f>(C467*1.06194690265)+(-5.9)</f>
        <v>12.684070796374998</v>
      </c>
      <c r="H467" s="34">
        <f>(C467*1.19469026548)+(0)</f>
        <v>20.907079645900001</v>
      </c>
      <c r="I467" s="34">
        <f>(C467*1.16814159292)+(-2)</f>
        <v>18.4424778761</v>
      </c>
      <c r="J467" s="34">
        <f>(C467*1.1238938053)+(-3.9)</f>
        <v>15.76814159275</v>
      </c>
      <c r="K467" s="34">
        <f>(C467*1.07964601769)+(-5.6)</f>
        <v>13.293805309575001</v>
      </c>
    </row>
    <row r="468" spans="1:11" s="21" customFormat="1" ht="19.95" customHeight="1" x14ac:dyDescent="0.25">
      <c r="A468" s="13" t="str">
        <f>"19995"</f>
        <v>19995</v>
      </c>
      <c r="B468" s="14" t="s">
        <v>817</v>
      </c>
      <c r="C468" s="13" t="str">
        <f>"16.5"</f>
        <v>16.5</v>
      </c>
      <c r="D468" s="32">
        <f>(C468*1.24778761061)+(0.4)</f>
        <v>20.988495575064999</v>
      </c>
      <c r="E468" s="33">
        <f>(C468*1.16814159292)+(-1)</f>
        <v>18.274336283180002</v>
      </c>
      <c r="F468" s="33">
        <f>(C468*1.1238938053)+(-4.4)</f>
        <v>14.14424778745</v>
      </c>
      <c r="G468" s="33">
        <f>(C468*1.06194690265)+(-5.9)</f>
        <v>11.622123893724998</v>
      </c>
      <c r="H468" s="34">
        <f>(C468*1.19469026548)+(0)</f>
        <v>19.712389380419999</v>
      </c>
      <c r="I468" s="34">
        <f>(C468*1.16814159292)+(-2)</f>
        <v>17.274336283180002</v>
      </c>
      <c r="J468" s="34">
        <f>(C468*1.1238938053)+(-3.9)</f>
        <v>14.64424778745</v>
      </c>
      <c r="K468" s="34">
        <f>(C468*1.07964601769)+(-5.6)</f>
        <v>12.214159291885002</v>
      </c>
    </row>
    <row r="469" spans="1:11" s="21" customFormat="1" ht="19.95" customHeight="1" x14ac:dyDescent="0.25">
      <c r="A469" s="13" t="str">
        <f>"41008"</f>
        <v>41008</v>
      </c>
      <c r="B469" s="14" t="s">
        <v>818</v>
      </c>
      <c r="C469" s="13" t="str">
        <f>"20.4"</f>
        <v>20.4</v>
      </c>
      <c r="D469" s="32">
        <f>(C469*1.24778761061)+(0.4)</f>
        <v>25.854867256443999</v>
      </c>
      <c r="E469" s="33">
        <f>(C469*1.16814159292)+(-1)</f>
        <v>22.830088495567999</v>
      </c>
      <c r="F469" s="33">
        <f>(C469*1.1238938053)+(-4.4)</f>
        <v>18.527433628120001</v>
      </c>
      <c r="G469" s="33">
        <f>(C469*1.06194690265)+(-5.9)</f>
        <v>15.763716814059995</v>
      </c>
      <c r="H469" s="34">
        <f>(C469*1.19469026548)+(0)</f>
        <v>24.371681415791997</v>
      </c>
      <c r="I469" s="34">
        <f>(C469*1.16814159292)+(-2)</f>
        <v>21.830088495567999</v>
      </c>
      <c r="J469" s="34">
        <f>(C469*1.1238938053)+(-3.9)</f>
        <v>19.027433628120001</v>
      </c>
      <c r="K469" s="34">
        <f>(C469*1.07964601769)+(-5.6)</f>
        <v>16.424778760876002</v>
      </c>
    </row>
    <row r="470" spans="1:11" s="21" customFormat="1" ht="19.95" customHeight="1" x14ac:dyDescent="0.25">
      <c r="A470" s="13" t="str">
        <f>"15979"</f>
        <v>15979</v>
      </c>
      <c r="B470" s="14" t="s">
        <v>819</v>
      </c>
      <c r="C470" s="13" t="str">
        <f>"34.4"</f>
        <v>34.4</v>
      </c>
      <c r="D470" s="32">
        <f>(C470*1.24778761061)+(0.4)</f>
        <v>43.323893804984003</v>
      </c>
      <c r="E470" s="33">
        <f>(C470*1.16814159292)+(-1)</f>
        <v>39.184070796448005</v>
      </c>
      <c r="F470" s="33">
        <f>(C470*1.1238938053)+(-4.4)</f>
        <v>34.261946902319998</v>
      </c>
      <c r="G470" s="33">
        <f>(C470*1.06194690265)+(-5.9)</f>
        <v>30.630973451159996</v>
      </c>
      <c r="H470" s="34">
        <f>(C470*1.19469026548)+(0)</f>
        <v>41.097345132511997</v>
      </c>
      <c r="I470" s="34">
        <f>(C470*1.16814159292)+(-2)</f>
        <v>38.184070796448005</v>
      </c>
      <c r="J470" s="34">
        <f>(C470*1.1238938053)+(-3.9)</f>
        <v>34.761946902319998</v>
      </c>
      <c r="K470" s="34">
        <f>(C470*1.07964601769)+(-5.6)</f>
        <v>31.539823008535997</v>
      </c>
    </row>
    <row r="471" spans="1:11" s="21" customFormat="1" ht="19.95" customHeight="1" x14ac:dyDescent="0.25">
      <c r="A471" s="13" t="str">
        <f>"29749"</f>
        <v>29749</v>
      </c>
      <c r="B471" s="14" t="s">
        <v>820</v>
      </c>
      <c r="C471" s="13" t="str">
        <f>"16.7"</f>
        <v>16.7</v>
      </c>
      <c r="D471" s="32">
        <f>(C471*1.24778761061)+(0.4)</f>
        <v>21.238053097186999</v>
      </c>
      <c r="E471" s="33">
        <f>(C471*1.16814159292)+(-1)</f>
        <v>18.507964601764002</v>
      </c>
      <c r="F471" s="33">
        <f>(C471*1.1238938053)+(-4.4)</f>
        <v>14.369026548509998</v>
      </c>
      <c r="G471" s="33">
        <f>(C471*1.06194690265)+(-5.9)</f>
        <v>11.834513274254997</v>
      </c>
      <c r="H471" s="34">
        <f>(C471*1.19469026548)+(0)</f>
        <v>19.951327433515999</v>
      </c>
      <c r="I471" s="34">
        <f>(C471*1.16814159292)+(-2)</f>
        <v>17.507964601764002</v>
      </c>
      <c r="J471" s="34">
        <f>(C471*1.1238938053)+(-3.9)</f>
        <v>14.869026548509998</v>
      </c>
      <c r="K471" s="34">
        <f>(C471*1.07964601769)+(-5.6)</f>
        <v>12.430088495422998</v>
      </c>
    </row>
    <row r="472" spans="1:11" s="21" customFormat="1" ht="19.95" customHeight="1" x14ac:dyDescent="0.25">
      <c r="A472" s="13" t="str">
        <f>"1014794"</f>
        <v>1014794</v>
      </c>
      <c r="B472" s="14" t="s">
        <v>821</v>
      </c>
      <c r="C472" s="13" t="str">
        <f>"11.0"</f>
        <v>11.0</v>
      </c>
      <c r="D472" s="32">
        <f>(C472*1.24778761061)+(0.4)</f>
        <v>14.125663716710001</v>
      </c>
      <c r="E472" s="33">
        <f>(C472*1.16814159292)+(-1)</f>
        <v>11.849557522120001</v>
      </c>
      <c r="F472" s="33">
        <f>(C472*1.1238938053)+(-4.4)</f>
        <v>7.9628318582999995</v>
      </c>
      <c r="G472" s="33">
        <f>(C472*1.06194690265)+(-5.9)</f>
        <v>5.7814159291499987</v>
      </c>
      <c r="H472" s="34">
        <f>(C472*1.19469026548)+(0)</f>
        <v>13.141592920280001</v>
      </c>
      <c r="I472" s="34">
        <f>(C472*1.16814159292)+(-2)</f>
        <v>10.849557522120001</v>
      </c>
      <c r="J472" s="34">
        <f>(C472*1.1238938053)+(-3.9)</f>
        <v>8.4628318582999995</v>
      </c>
      <c r="K472" s="34">
        <f>(C472*1.07964601769)+(-5.6)</f>
        <v>6.2761061945900014</v>
      </c>
    </row>
    <row r="473" spans="1:11" s="21" customFormat="1" ht="19.95" customHeight="1" x14ac:dyDescent="0.25">
      <c r="A473" s="13" t="str">
        <f>"12248"</f>
        <v>12248</v>
      </c>
      <c r="B473" s="14" t="s">
        <v>822</v>
      </c>
      <c r="C473" s="13" t="str">
        <f>"22.2"</f>
        <v>22.2</v>
      </c>
      <c r="D473" s="32">
        <f>(C473*1.24778761061)+(0.4)</f>
        <v>28.100884955542</v>
      </c>
      <c r="E473" s="33">
        <f>(C473*1.16814159292)+(-1)</f>
        <v>24.932743362824002</v>
      </c>
      <c r="F473" s="33">
        <f>(C473*1.1238938053)+(-4.4)</f>
        <v>20.550442477659999</v>
      </c>
      <c r="G473" s="33">
        <f>(C473*1.06194690265)+(-5.9)</f>
        <v>17.675221238829998</v>
      </c>
      <c r="H473" s="34">
        <f>(C473*1.19469026548)+(0)</f>
        <v>26.522123893655998</v>
      </c>
      <c r="I473" s="34">
        <f>(C473*1.16814159292)+(-2)</f>
        <v>23.932743362824002</v>
      </c>
      <c r="J473" s="34">
        <f>(C473*1.1238938053)+(-3.9)</f>
        <v>21.050442477660003</v>
      </c>
      <c r="K473" s="34">
        <f>(C473*1.07964601769)+(-5.6)</f>
        <v>18.368141592717997</v>
      </c>
    </row>
    <row r="474" spans="1:11" s="21" customFormat="1" ht="19.95" customHeight="1" x14ac:dyDescent="0.25">
      <c r="A474" s="13" t="str">
        <f>"71880"</f>
        <v>71880</v>
      </c>
      <c r="B474" s="14" t="s">
        <v>823</v>
      </c>
      <c r="C474" s="13" t="str">
        <f>"14.9"</f>
        <v>14.9</v>
      </c>
      <c r="D474" s="32">
        <f>(C474*1.24778761061)+(0.4)</f>
        <v>18.992035398089001</v>
      </c>
      <c r="E474" s="33">
        <f>(C474*1.16814159292)+(-1)</f>
        <v>16.405309734508002</v>
      </c>
      <c r="F474" s="33">
        <f>(C474*1.1238938053)+(-4.4)</f>
        <v>12.34601769897</v>
      </c>
      <c r="G474" s="33">
        <f>(C474*1.06194690265)+(-5.9)</f>
        <v>9.9230088494849991</v>
      </c>
      <c r="H474" s="34">
        <f>(C474*1.19469026548)+(0)</f>
        <v>17.800884955652002</v>
      </c>
      <c r="I474" s="34">
        <f>(C474*1.16814159292)+(-2)</f>
        <v>15.405309734508002</v>
      </c>
      <c r="J474" s="34">
        <f>(C474*1.1238938053)+(-3.9)</f>
        <v>12.84601769897</v>
      </c>
      <c r="K474" s="34">
        <f>(C474*1.07964601769)+(-5.6)</f>
        <v>10.486725663581</v>
      </c>
    </row>
    <row r="475" spans="1:11" s="21" customFormat="1" ht="19.95" customHeight="1" x14ac:dyDescent="0.25">
      <c r="A475" s="13" t="str">
        <f>"15983"</f>
        <v>15983</v>
      </c>
      <c r="B475" s="14" t="s">
        <v>824</v>
      </c>
      <c r="C475" s="13" t="str">
        <f>"42.0"</f>
        <v>42.0</v>
      </c>
      <c r="D475" s="32">
        <f>(C475*1.24778761061)+(0.4)</f>
        <v>52.80707964562</v>
      </c>
      <c r="E475" s="33">
        <f>(C475*1.16814159292)+(-1)</f>
        <v>48.061946902640003</v>
      </c>
      <c r="F475" s="33">
        <f>(C475*1.1238938053)+(-4.4)</f>
        <v>42.803539822600001</v>
      </c>
      <c r="G475" s="33">
        <f>(C475*1.06194690265)+(-5.9)</f>
        <v>38.701769911299998</v>
      </c>
      <c r="H475" s="34">
        <f>(C475*1.19469026548)+(0)</f>
        <v>50.176991150159999</v>
      </c>
      <c r="I475" s="34">
        <f>(C475*1.16814159292)+(-2)</f>
        <v>47.061946902640003</v>
      </c>
      <c r="J475" s="34">
        <f>(C475*1.1238938053)+(-3.9)</f>
        <v>43.303539822600001</v>
      </c>
      <c r="K475" s="34">
        <f>(C475*1.07964601769)+(-5.6)</f>
        <v>39.745132742979997</v>
      </c>
    </row>
    <row r="476" spans="1:11" s="21" customFormat="1" ht="19.95" customHeight="1" x14ac:dyDescent="0.25">
      <c r="A476" s="13" t="str">
        <f>"15984"</f>
        <v>15984</v>
      </c>
      <c r="B476" s="14" t="s">
        <v>825</v>
      </c>
      <c r="C476" s="13" t="str">
        <f>"23.3"</f>
        <v>23.3</v>
      </c>
      <c r="D476" s="32">
        <f>(C476*1.24778761061)+(0.4)</f>
        <v>29.473451327213002</v>
      </c>
      <c r="E476" s="33">
        <f>(C476*1.16814159292)+(-1)</f>
        <v>26.217699115036002</v>
      </c>
      <c r="F476" s="33">
        <f>(C476*1.1238938053)+(-4.4)</f>
        <v>21.786725663490003</v>
      </c>
      <c r="G476" s="33">
        <f>(C476*1.06194690265)+(-5.9)</f>
        <v>18.843362831744997</v>
      </c>
      <c r="H476" s="34">
        <f>(C476*1.19469026548)+(0)</f>
        <v>27.836283185684</v>
      </c>
      <c r="I476" s="34">
        <f>(C476*1.16814159292)+(-2)</f>
        <v>25.217699115036002</v>
      </c>
      <c r="J476" s="34">
        <f>(C476*1.1238938053)+(-3.9)</f>
        <v>22.286725663490003</v>
      </c>
      <c r="K476" s="34">
        <f>(C476*1.07964601769)+(-5.6)</f>
        <v>19.555752212177005</v>
      </c>
    </row>
    <row r="477" spans="1:11" s="21" customFormat="1" ht="19.95" customHeight="1" x14ac:dyDescent="0.25">
      <c r="A477" s="13" t="str">
        <f>"71637"</f>
        <v>71637</v>
      </c>
      <c r="B477" s="14" t="s">
        <v>826</v>
      </c>
      <c r="C477" s="13" t="str">
        <f>"22.5"</f>
        <v>22.5</v>
      </c>
      <c r="D477" s="32">
        <f>(C477*1.24778761061)+(0.4)</f>
        <v>28.475221238725002</v>
      </c>
      <c r="E477" s="33">
        <f>(C477*1.16814159292)+(-1)</f>
        <v>25.283185840700003</v>
      </c>
      <c r="F477" s="33">
        <f>(C477*1.1238938053)+(-4.4)</f>
        <v>20.887610619249998</v>
      </c>
      <c r="G477" s="33">
        <f>(C477*1.06194690265)+(-5.9)</f>
        <v>17.993805309624996</v>
      </c>
      <c r="H477" s="34">
        <f>(C477*1.19469026548)+(0)</f>
        <v>26.880530973300001</v>
      </c>
      <c r="I477" s="34">
        <f>(C477*1.16814159292)+(-2)</f>
        <v>24.283185840700003</v>
      </c>
      <c r="J477" s="34">
        <f>(C477*1.1238938053)+(-3.9)</f>
        <v>21.387610619250001</v>
      </c>
      <c r="K477" s="34">
        <f>(C477*1.07964601769)+(-5.6)</f>
        <v>18.692035398024998</v>
      </c>
    </row>
    <row r="478" spans="1:11" s="21" customFormat="1" ht="19.95" customHeight="1" x14ac:dyDescent="0.25">
      <c r="A478" s="13" t="str">
        <f>"15991"</f>
        <v>15991</v>
      </c>
      <c r="B478" s="14" t="s">
        <v>827</v>
      </c>
      <c r="C478" s="13" t="str">
        <f>"17.3"</f>
        <v>17.3</v>
      </c>
      <c r="D478" s="32">
        <f>(C478*1.24778761061)+(0.4)</f>
        <v>21.986725663553003</v>
      </c>
      <c r="E478" s="33">
        <f>(C478*1.16814159292)+(-1)</f>
        <v>19.208849557516004</v>
      </c>
      <c r="F478" s="33">
        <f>(C478*1.1238938053)+(-4.4)</f>
        <v>15.043362831690002</v>
      </c>
      <c r="G478" s="33">
        <f>(C478*1.06194690265)+(-5.9)</f>
        <v>12.471681415845</v>
      </c>
      <c r="H478" s="34">
        <f>(C478*1.19469026548)+(0)</f>
        <v>20.668141592804002</v>
      </c>
      <c r="I478" s="34">
        <f>(C478*1.16814159292)+(-2)</f>
        <v>18.208849557516004</v>
      </c>
      <c r="J478" s="34">
        <f>(C478*1.1238938053)+(-3.9)</f>
        <v>15.543362831690002</v>
      </c>
      <c r="K478" s="34">
        <f>(C478*1.07964601769)+(-5.6)</f>
        <v>13.077876106037001</v>
      </c>
    </row>
    <row r="479" spans="1:11" s="21" customFormat="1" ht="19.95" customHeight="1" x14ac:dyDescent="0.25">
      <c r="A479" s="13" t="str">
        <f>"76633"</f>
        <v>76633</v>
      </c>
      <c r="B479" s="14" t="s">
        <v>828</v>
      </c>
      <c r="C479" s="13" t="str">
        <f>"13.4"</f>
        <v>13.4</v>
      </c>
      <c r="D479" s="32">
        <f>(C479*1.24778761061)+(0.4)</f>
        <v>17.120353982173999</v>
      </c>
      <c r="E479" s="33">
        <f>(C479*1.16814159292)+(-1)</f>
        <v>14.653097345128002</v>
      </c>
      <c r="F479" s="33">
        <f>(C479*1.1238938053)+(-4.4)</f>
        <v>10.66017699102</v>
      </c>
      <c r="G479" s="33">
        <f>(C479*1.06194690265)+(-5.9)</f>
        <v>8.3300884955099992</v>
      </c>
      <c r="H479" s="34">
        <f>(C479*1.19469026548)+(0)</f>
        <v>16.008849557432001</v>
      </c>
      <c r="I479" s="34">
        <f>(C479*1.16814159292)+(-2)</f>
        <v>13.653097345128002</v>
      </c>
      <c r="J479" s="34">
        <f>(C479*1.1238938053)+(-3.9)</f>
        <v>11.16017699102</v>
      </c>
      <c r="K479" s="34">
        <f>(C479*1.07964601769)+(-5.6)</f>
        <v>8.8672566370460011</v>
      </c>
    </row>
    <row r="480" spans="1:11" s="21" customFormat="1" ht="19.95" customHeight="1" x14ac:dyDescent="0.25">
      <c r="A480" s="13" t="str">
        <f>"1009742"</f>
        <v>1009742</v>
      </c>
      <c r="B480" s="14" t="s">
        <v>829</v>
      </c>
      <c r="C480" s="13" t="str">
        <f>"20.4"</f>
        <v>20.4</v>
      </c>
      <c r="D480" s="32">
        <f>(C480*1.24778761061)+(0.4)</f>
        <v>25.854867256443999</v>
      </c>
      <c r="E480" s="33">
        <f>(C480*1.16814159292)+(-1)</f>
        <v>22.830088495567999</v>
      </c>
      <c r="F480" s="33">
        <f>(C480*1.1238938053)+(-4.4)</f>
        <v>18.527433628120001</v>
      </c>
      <c r="G480" s="33">
        <f>(C480*1.06194690265)+(-5.9)</f>
        <v>15.763716814059995</v>
      </c>
      <c r="H480" s="34">
        <f>(C480*1.19469026548)+(0)</f>
        <v>24.371681415791997</v>
      </c>
      <c r="I480" s="34">
        <f>(C480*1.16814159292)+(-2)</f>
        <v>21.830088495567999</v>
      </c>
      <c r="J480" s="34">
        <f>(C480*1.1238938053)+(-3.9)</f>
        <v>19.027433628120001</v>
      </c>
      <c r="K480" s="34">
        <f>(C480*1.07964601769)+(-5.6)</f>
        <v>16.424778760876002</v>
      </c>
    </row>
    <row r="481" spans="1:11" s="21" customFormat="1" ht="19.95" customHeight="1" x14ac:dyDescent="0.25">
      <c r="A481" s="13" t="str">
        <f>"48412"</f>
        <v>48412</v>
      </c>
      <c r="B481" s="14" t="s">
        <v>830</v>
      </c>
      <c r="C481" s="13" t="str">
        <f>"16.8"</f>
        <v>16.8</v>
      </c>
      <c r="D481" s="32">
        <f>(C481*1.24778761061)+(0.4)</f>
        <v>21.362831858248001</v>
      </c>
      <c r="E481" s="33">
        <f>(C481*1.16814159292)+(-1)</f>
        <v>18.624778761056003</v>
      </c>
      <c r="F481" s="33">
        <f>(C481*1.1238938053)+(-4.4)</f>
        <v>14.481415929040002</v>
      </c>
      <c r="G481" s="33">
        <f>(C481*1.06194690265)+(-5.9)</f>
        <v>11.94070796452</v>
      </c>
      <c r="H481" s="34">
        <f>(C481*1.19469026548)+(0)</f>
        <v>20.070796460064003</v>
      </c>
      <c r="I481" s="34">
        <f>(C481*1.16814159292)+(-2)</f>
        <v>17.624778761056003</v>
      </c>
      <c r="J481" s="34">
        <f>(C481*1.1238938053)+(-3.9)</f>
        <v>14.981415929040002</v>
      </c>
      <c r="K481" s="34">
        <f>(C481*1.07964601769)+(-5.6)</f>
        <v>12.538053097192</v>
      </c>
    </row>
    <row r="482" spans="1:11" s="21" customFormat="1" ht="19.95" customHeight="1" x14ac:dyDescent="0.25">
      <c r="A482" s="13" t="str">
        <f>"15989"</f>
        <v>15989</v>
      </c>
      <c r="B482" s="14" t="s">
        <v>831</v>
      </c>
      <c r="C482" s="13" t="str">
        <f>"12.2"</f>
        <v>12.2</v>
      </c>
      <c r="D482" s="32">
        <f>(C482*1.24778761061)+(0.4)</f>
        <v>15.623008849442</v>
      </c>
      <c r="E482" s="33">
        <f>(C482*1.16814159292)+(-1)</f>
        <v>13.251327433624001</v>
      </c>
      <c r="F482" s="33">
        <f>(C482*1.1238938053)+(-4.4)</f>
        <v>9.3115044246599989</v>
      </c>
      <c r="G482" s="33">
        <f>(C482*1.06194690265)+(-5.9)</f>
        <v>7.0557522123299972</v>
      </c>
      <c r="H482" s="34">
        <f>(C482*1.19469026548)+(0)</f>
        <v>14.575221238855999</v>
      </c>
      <c r="I482" s="34">
        <f>(C482*1.16814159292)+(-2)</f>
        <v>12.251327433624001</v>
      </c>
      <c r="J482" s="34">
        <f>(C482*1.1238938053)+(-3.9)</f>
        <v>9.8115044246599989</v>
      </c>
      <c r="K482" s="34">
        <f>(C482*1.07964601769)+(-5.6)</f>
        <v>7.5716814158180004</v>
      </c>
    </row>
    <row r="483" spans="1:11" s="21" customFormat="1" ht="19.95" customHeight="1" x14ac:dyDescent="0.25">
      <c r="A483" s="13" t="str">
        <f>"15995"</f>
        <v>15995</v>
      </c>
      <c r="B483" s="14" t="s">
        <v>832</v>
      </c>
      <c r="C483" s="13" t="str">
        <f>"31.0"</f>
        <v>31.0</v>
      </c>
      <c r="D483" s="32">
        <f>(C483*1.24778761061)+(0.4)</f>
        <v>39.081415928910005</v>
      </c>
      <c r="E483" s="33">
        <f>(C483*1.16814159292)+(-1)</f>
        <v>35.212389380520001</v>
      </c>
      <c r="F483" s="33">
        <f>(C483*1.1238938053)+(-4.4)</f>
        <v>30.440707964300003</v>
      </c>
      <c r="G483" s="33">
        <f>(C483*1.06194690265)+(-5.9)</f>
        <v>27.020353982149999</v>
      </c>
      <c r="H483" s="34">
        <f>(C483*1.19469026548)+(0)</f>
        <v>37.035398229880002</v>
      </c>
      <c r="I483" s="34">
        <f>(C483*1.16814159292)+(-2)</f>
        <v>34.212389380520001</v>
      </c>
      <c r="J483" s="34">
        <f>(C483*1.1238938053)+(-3.9)</f>
        <v>30.940707964300003</v>
      </c>
      <c r="K483" s="34">
        <f>(C483*1.07964601769)+(-5.6)</f>
        <v>27.869026548389996</v>
      </c>
    </row>
    <row r="484" spans="1:11" s="21" customFormat="1" ht="19.95" customHeight="1" x14ac:dyDescent="0.25">
      <c r="A484" s="13" t="str">
        <f>"1004815"</f>
        <v>1004815</v>
      </c>
      <c r="B484" s="14" t="s">
        <v>833</v>
      </c>
      <c r="C484" s="13" t="str">
        <f>"27.3"</f>
        <v>27.3</v>
      </c>
      <c r="D484" s="32">
        <f>(C484*1.24778761061)+(0.4)</f>
        <v>34.464601769653001</v>
      </c>
      <c r="E484" s="33">
        <f>(C484*1.16814159292)+(-1)</f>
        <v>30.890265486716004</v>
      </c>
      <c r="F484" s="33">
        <f>(C484*1.1238938053)+(-4.4)</f>
        <v>26.282300884690002</v>
      </c>
      <c r="G484" s="33">
        <f>(C484*1.06194690265)+(-5.9)</f>
        <v>23.091150442344997</v>
      </c>
      <c r="H484" s="34">
        <f>(C484*1.19469026548)+(0)</f>
        <v>32.615044247604004</v>
      </c>
      <c r="I484" s="34">
        <f>(C484*1.16814159292)+(-2)</f>
        <v>29.890265486716004</v>
      </c>
      <c r="J484" s="34">
        <f>(C484*1.1238938053)+(-3.9)</f>
        <v>26.782300884690002</v>
      </c>
      <c r="K484" s="34">
        <f>(C484*1.07964601769)+(-5.6)</f>
        <v>23.874336282937001</v>
      </c>
    </row>
    <row r="485" spans="1:11" s="21" customFormat="1" ht="19.95" customHeight="1" x14ac:dyDescent="0.25">
      <c r="A485" s="13" t="str">
        <f>"70771"</f>
        <v>70771</v>
      </c>
      <c r="B485" s="14" t="s">
        <v>834</v>
      </c>
      <c r="C485" s="13" t="str">
        <f>"19.3"</f>
        <v>19.3</v>
      </c>
      <c r="D485" s="32">
        <f>(C485*1.24778761061)+(0.4)</f>
        <v>24.482300884773</v>
      </c>
      <c r="E485" s="33">
        <f>(C485*1.16814159292)+(-1)</f>
        <v>21.545132743356003</v>
      </c>
      <c r="F485" s="33">
        <f>(C485*1.1238938053)+(-4.4)</f>
        <v>17.291150442290004</v>
      </c>
      <c r="G485" s="33">
        <f>(C485*1.06194690265)+(-5.9)</f>
        <v>14.595575221144999</v>
      </c>
      <c r="H485" s="34">
        <f>(C485*1.19469026548)+(0)</f>
        <v>23.057522123764002</v>
      </c>
      <c r="I485" s="34">
        <f>(C485*1.16814159292)+(-2)</f>
        <v>20.545132743356003</v>
      </c>
      <c r="J485" s="34">
        <f>(C485*1.1238938053)+(-3.9)</f>
        <v>17.791150442290004</v>
      </c>
      <c r="K485" s="34">
        <f>(C485*1.07964601769)+(-5.6)</f>
        <v>15.237168141417003</v>
      </c>
    </row>
    <row r="486" spans="1:11" s="21" customFormat="1" ht="19.95" customHeight="1" x14ac:dyDescent="0.25">
      <c r="A486" s="13" t="str">
        <f>"15997"</f>
        <v>15997</v>
      </c>
      <c r="B486" s="14" t="s">
        <v>835</v>
      </c>
      <c r="C486" s="13" t="str">
        <f>"11.0"</f>
        <v>11.0</v>
      </c>
      <c r="D486" s="32">
        <f>(C486*1.24778761061)+(0.4)</f>
        <v>14.125663716710001</v>
      </c>
      <c r="E486" s="33">
        <f>(C486*1.16814159292)+(-1)</f>
        <v>11.849557522120001</v>
      </c>
      <c r="F486" s="33">
        <f>(C486*1.1238938053)+(-4.4)</f>
        <v>7.9628318582999995</v>
      </c>
      <c r="G486" s="33">
        <f>(C486*1.06194690265)+(-5.9)</f>
        <v>5.7814159291499987</v>
      </c>
      <c r="H486" s="34">
        <f>(C486*1.19469026548)+(0)</f>
        <v>13.141592920280001</v>
      </c>
      <c r="I486" s="34">
        <f>(C486*1.16814159292)+(-2)</f>
        <v>10.849557522120001</v>
      </c>
      <c r="J486" s="34">
        <f>(C486*1.1238938053)+(-3.9)</f>
        <v>8.4628318582999995</v>
      </c>
      <c r="K486" s="34">
        <f>(C486*1.07964601769)+(-5.6)</f>
        <v>6.2761061945900014</v>
      </c>
    </row>
    <row r="487" spans="1:11" s="21" customFormat="1" ht="19.95" customHeight="1" x14ac:dyDescent="0.25">
      <c r="A487" s="13" t="str">
        <f>"15998"</f>
        <v>15998</v>
      </c>
      <c r="B487" s="14" t="s">
        <v>836</v>
      </c>
      <c r="C487" s="13" t="str">
        <f>"9.2"</f>
        <v>9.2</v>
      </c>
      <c r="D487" s="32">
        <f>(C487*1.24778761061)+(0.4)</f>
        <v>11.879646017612</v>
      </c>
      <c r="E487" s="33">
        <f>(C487*1.16814159292)+(-1)</f>
        <v>9.7469026548639999</v>
      </c>
      <c r="F487" s="33">
        <f>(C487*1.1238938053)+(-4.4)</f>
        <v>5.9398230087599995</v>
      </c>
      <c r="G487" s="33">
        <f>(C487*1.06194690265)+(-5.9)</f>
        <v>3.8699115043799974</v>
      </c>
      <c r="H487" s="34">
        <f>(C487*1.19469026548)+(0)</f>
        <v>10.991150442416</v>
      </c>
      <c r="I487" s="34">
        <f>(C487*1.16814159292)+(-2)</f>
        <v>8.7469026548639999</v>
      </c>
      <c r="J487" s="34">
        <f>(C487*1.1238938053)+(-3.9)</f>
        <v>6.4398230087599995</v>
      </c>
      <c r="K487" s="34">
        <f>(C487*1.07964601769)+(-5.6)</f>
        <v>4.3327433627479994</v>
      </c>
    </row>
    <row r="488" spans="1:11" s="21" customFormat="1" ht="19.95" customHeight="1" x14ac:dyDescent="0.25">
      <c r="A488" s="13" t="str">
        <f>"22844"</f>
        <v>22844</v>
      </c>
      <c r="B488" s="14" t="s">
        <v>837</v>
      </c>
      <c r="C488" s="13" t="str">
        <f>"27.9"</f>
        <v>27.9</v>
      </c>
      <c r="D488" s="32">
        <f>(C488*1.24778761061)+(0.4)</f>
        <v>35.213274336018998</v>
      </c>
      <c r="E488" s="33">
        <f>(C488*1.16814159292)+(-1)</f>
        <v>31.591150442467999</v>
      </c>
      <c r="F488" s="33">
        <f>(C488*1.1238938053)+(-4.4)</f>
        <v>26.956637167869999</v>
      </c>
      <c r="G488" s="33">
        <f>(C488*1.06194690265)+(-5.9)</f>
        <v>23.728318583934993</v>
      </c>
      <c r="H488" s="34">
        <f>(C488*1.19469026548)+(0)</f>
        <v>33.331858406891996</v>
      </c>
      <c r="I488" s="34">
        <f>(C488*1.16814159292)+(-2)</f>
        <v>30.591150442467999</v>
      </c>
      <c r="J488" s="34">
        <f>(C488*1.1238938053)+(-3.9)</f>
        <v>27.456637167869999</v>
      </c>
      <c r="K488" s="34">
        <f>(C488*1.07964601769)+(-5.6)</f>
        <v>24.522123893550997</v>
      </c>
    </row>
    <row r="489" spans="1:11" s="21" customFormat="1" ht="19.95" customHeight="1" x14ac:dyDescent="0.25">
      <c r="A489" s="13" t="str">
        <f>"73408"</f>
        <v>73408</v>
      </c>
      <c r="B489" s="14" t="s">
        <v>838</v>
      </c>
      <c r="C489" s="13" t="str">
        <f>"5.4"</f>
        <v>5.4</v>
      </c>
      <c r="D489" s="32">
        <f>(C489*1.24778761061)+(0.4)</f>
        <v>7.1380530972940015</v>
      </c>
      <c r="E489" s="33">
        <f>(C489*1.16814159292)+(-1)</f>
        <v>5.3079646017680009</v>
      </c>
      <c r="F489" s="33">
        <f>(C489*1.1238938053)+(-4.4)</f>
        <v>1.6690265486200007</v>
      </c>
      <c r="G489" s="33">
        <f>(C489*1.06194690265)+(-5.9)</f>
        <v>-0.16548672569000011</v>
      </c>
      <c r="H489" s="34">
        <f>(C489*1.19469026548)+(0)</f>
        <v>6.4513274335920006</v>
      </c>
      <c r="I489" s="34">
        <f>(C489*1.16814159292)+(-2)</f>
        <v>4.3079646017680009</v>
      </c>
      <c r="J489" s="34">
        <f>(C489*1.1238938053)+(-3.9)</f>
        <v>2.1690265486200011</v>
      </c>
      <c r="K489" s="34">
        <f>(C489*1.07964601769)+(-5.6)</f>
        <v>0.23008849552600097</v>
      </c>
    </row>
    <row r="490" spans="1:11" s="21" customFormat="1" ht="19.95" customHeight="1" x14ac:dyDescent="0.25">
      <c r="A490" s="13" t="str">
        <f>"16003"</f>
        <v>16003</v>
      </c>
      <c r="B490" s="14" t="s">
        <v>839</v>
      </c>
      <c r="C490" s="13" t="str">
        <f>"12.4"</f>
        <v>12.4</v>
      </c>
      <c r="D490" s="32">
        <f>(C490*1.24778761061)+(0.4)</f>
        <v>15.872566371564002</v>
      </c>
      <c r="E490" s="33">
        <f>(C490*1.16814159292)+(-1)</f>
        <v>13.484955752208002</v>
      </c>
      <c r="F490" s="33">
        <f>(C490*1.1238938053)+(-4.4)</f>
        <v>9.5362831857200003</v>
      </c>
      <c r="G490" s="33">
        <f>(C490*1.06194690265)+(-5.9)</f>
        <v>7.2681415928599993</v>
      </c>
      <c r="H490" s="34">
        <f>(C490*1.19469026548)+(0)</f>
        <v>14.814159291952</v>
      </c>
      <c r="I490" s="34">
        <f>(C490*1.16814159292)+(-2)</f>
        <v>12.484955752208002</v>
      </c>
      <c r="J490" s="34">
        <f>(C490*1.1238938053)+(-3.9)</f>
        <v>10.03628318572</v>
      </c>
      <c r="K490" s="34">
        <f>(C490*1.07964601769)+(-5.6)</f>
        <v>7.7876106193560002</v>
      </c>
    </row>
    <row r="491" spans="1:11" s="21" customFormat="1" ht="19.95" customHeight="1" x14ac:dyDescent="0.25">
      <c r="A491" s="13" t="str">
        <f>"1006950"</f>
        <v>1006950</v>
      </c>
      <c r="B491" s="14" t="s">
        <v>840</v>
      </c>
      <c r="C491" s="13" t="str">
        <f>"21.6"</f>
        <v>21.6</v>
      </c>
      <c r="D491" s="32">
        <f>(C491*1.24778761061)+(0.4)</f>
        <v>27.352212389176003</v>
      </c>
      <c r="E491" s="33">
        <f>(C491*1.16814159292)+(-1)</f>
        <v>24.231858407072004</v>
      </c>
      <c r="F491" s="33">
        <f>(C491*1.1238938053)+(-4.4)</f>
        <v>19.876106194480002</v>
      </c>
      <c r="G491" s="33">
        <f>(C491*1.06194690265)+(-5.9)</f>
        <v>17.038053097240002</v>
      </c>
      <c r="H491" s="34">
        <f>(C491*1.19469026548)+(0)</f>
        <v>25.805309734368002</v>
      </c>
      <c r="I491" s="34">
        <f>(C491*1.16814159292)+(-2)</f>
        <v>23.231858407072004</v>
      </c>
      <c r="J491" s="34">
        <f>(C491*1.1238938053)+(-3.9)</f>
        <v>20.376106194480005</v>
      </c>
      <c r="K491" s="34">
        <f>(C491*1.07964601769)+(-5.6)</f>
        <v>17.720353982104001</v>
      </c>
    </row>
    <row r="492" spans="1:11" s="21" customFormat="1" ht="19.95" customHeight="1" x14ac:dyDescent="0.25">
      <c r="A492" s="13" t="str">
        <f>"50416"</f>
        <v>50416</v>
      </c>
      <c r="B492" s="14" t="s">
        <v>841</v>
      </c>
      <c r="C492" s="13" t="str">
        <f>"20.2"</f>
        <v>20.2</v>
      </c>
      <c r="D492" s="32">
        <f>(C492*1.24778761061)+(0.4)</f>
        <v>25.605309734321999</v>
      </c>
      <c r="E492" s="33">
        <f>(C492*1.16814159292)+(-1)</f>
        <v>22.596460176983999</v>
      </c>
      <c r="F492" s="33">
        <f>(C492*1.1238938053)+(-4.4)</f>
        <v>18.302654867059999</v>
      </c>
      <c r="G492" s="33">
        <f>(C492*1.06194690265)+(-5.9)</f>
        <v>15.551327433529996</v>
      </c>
      <c r="H492" s="34">
        <f>(C492*1.19469026548)+(0)</f>
        <v>24.132743362696001</v>
      </c>
      <c r="I492" s="34">
        <f>(C492*1.16814159292)+(-2)</f>
        <v>21.596460176983999</v>
      </c>
      <c r="J492" s="34">
        <f>(C492*1.1238938053)+(-3.9)</f>
        <v>18.802654867060003</v>
      </c>
      <c r="K492" s="34">
        <f>(C492*1.07964601769)+(-5.6)</f>
        <v>16.208849557337999</v>
      </c>
    </row>
    <row r="493" spans="1:11" s="21" customFormat="1" ht="19.95" customHeight="1" x14ac:dyDescent="0.25">
      <c r="A493" s="13" t="str">
        <f>"47041"</f>
        <v>47041</v>
      </c>
      <c r="B493" s="14" t="s">
        <v>842</v>
      </c>
      <c r="C493" s="13" t="str">
        <f>"17.1"</f>
        <v>17.1</v>
      </c>
      <c r="D493" s="32">
        <f>(C493*1.24778761061)+(0.4)</f>
        <v>21.737168141431003</v>
      </c>
      <c r="E493" s="33">
        <f>(C493*1.16814159292)+(-1)</f>
        <v>18.975221238932004</v>
      </c>
      <c r="F493" s="33">
        <f>(C493*1.1238938053)+(-4.4)</f>
        <v>14.818584070630001</v>
      </c>
      <c r="G493" s="33">
        <f>(C493*1.06194690265)+(-5.9)</f>
        <v>12.259292035315001</v>
      </c>
      <c r="H493" s="34">
        <f>(C493*1.19469026548)+(0)</f>
        <v>20.429203539708002</v>
      </c>
      <c r="I493" s="34">
        <f>(C493*1.16814159292)+(-2)</f>
        <v>17.975221238932004</v>
      </c>
      <c r="J493" s="34">
        <f>(C493*1.1238938053)+(-3.9)</f>
        <v>15.318584070630001</v>
      </c>
      <c r="K493" s="34">
        <f>(C493*1.07964601769)+(-5.6)</f>
        <v>12.861946902499001</v>
      </c>
    </row>
    <row r="494" spans="1:11" s="21" customFormat="1" ht="19.95" customHeight="1" x14ac:dyDescent="0.25">
      <c r="A494" s="13" t="str">
        <f>"1009130"</f>
        <v>1009130</v>
      </c>
      <c r="B494" s="14" t="s">
        <v>843</v>
      </c>
      <c r="C494" s="13" t="str">
        <f>"19.3"</f>
        <v>19.3</v>
      </c>
      <c r="D494" s="32">
        <f>(C494*1.24778761061)+(0.4)</f>
        <v>24.482300884773</v>
      </c>
      <c r="E494" s="33">
        <f>(C494*1.16814159292)+(-1)</f>
        <v>21.545132743356003</v>
      </c>
      <c r="F494" s="33">
        <f>(C494*1.1238938053)+(-4.4)</f>
        <v>17.291150442290004</v>
      </c>
      <c r="G494" s="33">
        <f>(C494*1.06194690265)+(-5.9)</f>
        <v>14.595575221144999</v>
      </c>
      <c r="H494" s="34">
        <f>(C494*1.19469026548)+(0)</f>
        <v>23.057522123764002</v>
      </c>
      <c r="I494" s="34">
        <f>(C494*1.16814159292)+(-2)</f>
        <v>20.545132743356003</v>
      </c>
      <c r="J494" s="34">
        <f>(C494*1.1238938053)+(-3.9)</f>
        <v>17.791150442290004</v>
      </c>
      <c r="K494" s="34">
        <f>(C494*1.07964601769)+(-5.6)</f>
        <v>15.237168141417003</v>
      </c>
    </row>
    <row r="495" spans="1:11" s="21" customFormat="1" ht="19.95" customHeight="1" x14ac:dyDescent="0.25">
      <c r="A495" s="13" t="str">
        <f>"16006"</f>
        <v>16006</v>
      </c>
      <c r="B495" s="14" t="s">
        <v>844</v>
      </c>
      <c r="C495" s="13" t="str">
        <f>"10.1"</f>
        <v>10.1</v>
      </c>
      <c r="D495" s="32">
        <f>(C495*1.24778761061)+(0.4)</f>
        <v>13.002654867161</v>
      </c>
      <c r="E495" s="33">
        <f>(C495*1.16814159292)+(-1)</f>
        <v>10.798230088492</v>
      </c>
      <c r="F495" s="33">
        <f>(C495*1.1238938053)+(-4.4)</f>
        <v>6.9513274335300004</v>
      </c>
      <c r="G495" s="33">
        <f>(C495*1.06194690265)+(-5.9)</f>
        <v>4.8256637167649981</v>
      </c>
      <c r="H495" s="34">
        <f>(C495*1.19469026548)+(0)</f>
        <v>12.066371681348</v>
      </c>
      <c r="I495" s="34">
        <f>(C495*1.16814159292)+(-2)</f>
        <v>9.7982300884919997</v>
      </c>
      <c r="J495" s="34">
        <f>(C495*1.1238938053)+(-3.9)</f>
        <v>7.4513274335300004</v>
      </c>
      <c r="K495" s="34">
        <f>(C495*1.07964601769)+(-5.6)</f>
        <v>5.3044247786690004</v>
      </c>
    </row>
    <row r="496" spans="1:11" s="21" customFormat="1" ht="19.95" customHeight="1" x14ac:dyDescent="0.25">
      <c r="A496" s="13" t="str">
        <f>"1010305"</f>
        <v>1010305</v>
      </c>
      <c r="B496" s="14" t="s">
        <v>845</v>
      </c>
      <c r="C496" s="13" t="str">
        <f>"20.2"</f>
        <v>20.2</v>
      </c>
      <c r="D496" s="32">
        <f>(C496*1.24778761061)+(0.4)</f>
        <v>25.605309734321999</v>
      </c>
      <c r="E496" s="33">
        <f>(C496*1.16814159292)+(-1)</f>
        <v>22.596460176983999</v>
      </c>
      <c r="F496" s="33">
        <f>(C496*1.1238938053)+(-4.4)</f>
        <v>18.302654867059999</v>
      </c>
      <c r="G496" s="33">
        <f>(C496*1.06194690265)+(-5.9)</f>
        <v>15.551327433529996</v>
      </c>
      <c r="H496" s="34">
        <f>(C496*1.19469026548)+(0)</f>
        <v>24.132743362696001</v>
      </c>
      <c r="I496" s="34">
        <f>(C496*1.16814159292)+(-2)</f>
        <v>21.596460176983999</v>
      </c>
      <c r="J496" s="34">
        <f>(C496*1.1238938053)+(-3.9)</f>
        <v>18.802654867060003</v>
      </c>
      <c r="K496" s="34">
        <f>(C496*1.07964601769)+(-5.6)</f>
        <v>16.208849557337999</v>
      </c>
    </row>
    <row r="497" spans="1:11" s="21" customFormat="1" ht="19.95" customHeight="1" x14ac:dyDescent="0.25">
      <c r="A497" s="13" t="str">
        <f>"79535"</f>
        <v>79535</v>
      </c>
      <c r="B497" s="14" t="s">
        <v>846</v>
      </c>
      <c r="C497" s="13" t="str">
        <f>"11.1"</f>
        <v>11.1</v>
      </c>
      <c r="D497" s="32">
        <f>(C497*1.24778761061)+(0.4)</f>
        <v>14.250442477771001</v>
      </c>
      <c r="E497" s="33">
        <f>(C497*1.16814159292)+(-1)</f>
        <v>11.966371681412001</v>
      </c>
      <c r="F497" s="33">
        <f>(C497*1.1238938053)+(-4.4)</f>
        <v>8.0752212388300002</v>
      </c>
      <c r="G497" s="33">
        <f>(C497*1.06194690265)+(-5.9)</f>
        <v>5.887610619414998</v>
      </c>
      <c r="H497" s="34">
        <f>(C497*1.19469026548)+(0)</f>
        <v>13.261061946827999</v>
      </c>
      <c r="I497" s="34">
        <f>(C497*1.16814159292)+(-2)</f>
        <v>10.966371681412001</v>
      </c>
      <c r="J497" s="34">
        <f>(C497*1.1238938053)+(-3.9)</f>
        <v>8.5752212388300002</v>
      </c>
      <c r="K497" s="34">
        <f>(C497*1.07964601769)+(-5.6)</f>
        <v>6.3840707963589995</v>
      </c>
    </row>
    <row r="498" spans="1:11" s="21" customFormat="1" ht="19.95" customHeight="1" x14ac:dyDescent="0.25">
      <c r="A498" s="13" t="str">
        <f>"50741"</f>
        <v>50741</v>
      </c>
      <c r="B498" s="14" t="s">
        <v>847</v>
      </c>
      <c r="C498" s="13" t="str">
        <f>"12.7"</f>
        <v>12.7</v>
      </c>
      <c r="D498" s="32">
        <f>(C498*1.24778761061)+(0.4)</f>
        <v>16.246902654747</v>
      </c>
      <c r="E498" s="33">
        <f>(C498*1.16814159292)+(-1)</f>
        <v>13.835398230083999</v>
      </c>
      <c r="F498" s="33">
        <f>(C498*1.1238938053)+(-4.4)</f>
        <v>9.8734513273099989</v>
      </c>
      <c r="G498" s="33">
        <f>(C498*1.06194690265)+(-5.9)</f>
        <v>7.5867256636549971</v>
      </c>
      <c r="H498" s="34">
        <f>(C498*1.19469026548)+(0)</f>
        <v>15.172566371596</v>
      </c>
      <c r="I498" s="34">
        <f>(C498*1.16814159292)+(-2)</f>
        <v>12.835398230083999</v>
      </c>
      <c r="J498" s="34">
        <f>(C498*1.1238938053)+(-3.9)</f>
        <v>10.373451327309999</v>
      </c>
      <c r="K498" s="34">
        <f>(C498*1.07964601769)+(-5.6)</f>
        <v>8.1115044246629999</v>
      </c>
    </row>
    <row r="499" spans="1:11" s="21" customFormat="1" ht="19.95" customHeight="1" x14ac:dyDescent="0.25">
      <c r="A499" s="13" t="str">
        <f>"19582"</f>
        <v>19582</v>
      </c>
      <c r="B499" s="14" t="s">
        <v>848</v>
      </c>
      <c r="C499" s="13" t="str">
        <f>"12.1"</f>
        <v>12.1</v>
      </c>
      <c r="D499" s="32">
        <f>(C499*1.24778761061)+(0.4)</f>
        <v>15.498230088381002</v>
      </c>
      <c r="E499" s="33">
        <f>(C499*1.16814159292)+(-1)</f>
        <v>13.134513274332001</v>
      </c>
      <c r="F499" s="33">
        <f>(C499*1.1238938053)+(-4.4)</f>
        <v>9.19911504413</v>
      </c>
      <c r="G499" s="33">
        <f>(C499*1.06194690265)+(-5.9)</f>
        <v>6.9495575220649979</v>
      </c>
      <c r="H499" s="34">
        <f>(C499*1.19469026548)+(0)</f>
        <v>14.455752212307999</v>
      </c>
      <c r="I499" s="34">
        <f>(C499*1.16814159292)+(-2)</f>
        <v>12.134513274332001</v>
      </c>
      <c r="J499" s="34">
        <f>(C499*1.1238938053)+(-3.9)</f>
        <v>9.69911504413</v>
      </c>
      <c r="K499" s="34">
        <f>(C499*1.07964601769)+(-5.6)</f>
        <v>7.4637168140490004</v>
      </c>
    </row>
    <row r="500" spans="1:11" s="21" customFormat="1" ht="19.95" customHeight="1" x14ac:dyDescent="0.25">
      <c r="A500" s="13" t="str">
        <f>"1010280"</f>
        <v>1010280</v>
      </c>
      <c r="B500" s="14" t="s">
        <v>849</v>
      </c>
      <c r="C500" s="13" t="str">
        <f>"27.0"</f>
        <v>27.0</v>
      </c>
      <c r="D500" s="32">
        <f>(C500*1.24778761061)+(0.4)</f>
        <v>34.090265486470003</v>
      </c>
      <c r="E500" s="33">
        <f>(C500*1.16814159292)+(-1)</f>
        <v>30.539823008840003</v>
      </c>
      <c r="F500" s="33">
        <f>(C500*1.1238938053)+(-4.4)</f>
        <v>25.945132743100004</v>
      </c>
      <c r="G500" s="33">
        <f>(C500*1.06194690265)+(-5.9)</f>
        <v>22.772566371549999</v>
      </c>
      <c r="H500" s="34">
        <f>(C500*1.19469026548)+(0)</f>
        <v>32.256637167960001</v>
      </c>
      <c r="I500" s="34">
        <f>(C500*1.16814159292)+(-2)</f>
        <v>29.539823008840003</v>
      </c>
      <c r="J500" s="34">
        <f>(C500*1.1238938053)+(-3.9)</f>
        <v>26.445132743100004</v>
      </c>
      <c r="K500" s="34">
        <f>(C500*1.07964601769)+(-5.6)</f>
        <v>23.55044247763</v>
      </c>
    </row>
    <row r="501" spans="1:11" s="21" customFormat="1" ht="19.95" customHeight="1" x14ac:dyDescent="0.25">
      <c r="A501" s="13" t="str">
        <f>"16012"</f>
        <v>16012</v>
      </c>
      <c r="B501" s="14" t="s">
        <v>850</v>
      </c>
      <c r="C501" s="13" t="str">
        <f>"16.7"</f>
        <v>16.7</v>
      </c>
      <c r="D501" s="32">
        <f>(C501*1.24778761061)+(0.4)</f>
        <v>21.238053097186999</v>
      </c>
      <c r="E501" s="33">
        <f>(C501*1.16814159292)+(-1)</f>
        <v>18.507964601764002</v>
      </c>
      <c r="F501" s="33">
        <f>(C501*1.1238938053)+(-4.4)</f>
        <v>14.369026548509998</v>
      </c>
      <c r="G501" s="33">
        <f>(C501*1.06194690265)+(-5.9)</f>
        <v>11.834513274254997</v>
      </c>
      <c r="H501" s="34">
        <f>(C501*1.19469026548)+(0)</f>
        <v>19.951327433515999</v>
      </c>
      <c r="I501" s="34">
        <f>(C501*1.16814159292)+(-2)</f>
        <v>17.507964601764002</v>
      </c>
      <c r="J501" s="34">
        <f>(C501*1.1238938053)+(-3.9)</f>
        <v>14.869026548509998</v>
      </c>
      <c r="K501" s="34">
        <f>(C501*1.07964601769)+(-5.6)</f>
        <v>12.430088495422998</v>
      </c>
    </row>
    <row r="502" spans="1:11" s="21" customFormat="1" ht="19.95" customHeight="1" x14ac:dyDescent="0.25">
      <c r="A502" s="13" t="str">
        <f>"16013"</f>
        <v>16013</v>
      </c>
      <c r="B502" s="14" t="s">
        <v>851</v>
      </c>
      <c r="C502" s="13" t="str">
        <f>"25.2"</f>
        <v>25.2</v>
      </c>
      <c r="D502" s="32">
        <f>(C502*1.24778761061)+(0.4)</f>
        <v>31.844247787372002</v>
      </c>
      <c r="E502" s="33">
        <f>(C502*1.16814159292)+(-1)</f>
        <v>28.437168141584003</v>
      </c>
      <c r="F502" s="33">
        <f>(C502*1.1238938053)+(-4.4)</f>
        <v>23.922123893559998</v>
      </c>
      <c r="G502" s="33">
        <f>(C502*1.06194690265)+(-5.9)</f>
        <v>20.861061946779998</v>
      </c>
      <c r="H502" s="34">
        <f>(C502*1.19469026548)+(0)</f>
        <v>30.106194690096</v>
      </c>
      <c r="I502" s="34">
        <f>(C502*1.16814159292)+(-2)</f>
        <v>27.437168141584003</v>
      </c>
      <c r="J502" s="34">
        <f>(C502*1.1238938053)+(-3.9)</f>
        <v>24.422123893560002</v>
      </c>
      <c r="K502" s="34">
        <f>(C502*1.07964601769)+(-5.6)</f>
        <v>21.607079645787998</v>
      </c>
    </row>
    <row r="503" spans="1:11" s="21" customFormat="1" ht="19.95" customHeight="1" x14ac:dyDescent="0.25">
      <c r="A503" s="13" t="str">
        <f>"16015"</f>
        <v>16015</v>
      </c>
      <c r="B503" s="14" t="s">
        <v>852</v>
      </c>
      <c r="C503" s="13" t="str">
        <f>"27.1"</f>
        <v>27.1</v>
      </c>
      <c r="D503" s="32">
        <f>(C503*1.24778761061)+(0.4)</f>
        <v>34.215044247531004</v>
      </c>
      <c r="E503" s="33">
        <f>(C503*1.16814159292)+(-1)</f>
        <v>30.656637168132004</v>
      </c>
      <c r="F503" s="33">
        <f>(C503*1.1238938053)+(-4.4)</f>
        <v>26.057522123630001</v>
      </c>
      <c r="G503" s="33">
        <f>(C503*1.06194690265)+(-5.9)</f>
        <v>22.878761061814998</v>
      </c>
      <c r="H503" s="34">
        <f>(C503*1.19469026548)+(0)</f>
        <v>32.376106194508004</v>
      </c>
      <c r="I503" s="34">
        <f>(C503*1.16814159292)+(-2)</f>
        <v>29.656637168132004</v>
      </c>
      <c r="J503" s="34">
        <f>(C503*1.1238938053)+(-3.9)</f>
        <v>26.557522123630005</v>
      </c>
      <c r="K503" s="34">
        <f>(C503*1.07964601769)+(-5.6)</f>
        <v>23.658407079399005</v>
      </c>
    </row>
    <row r="504" spans="1:11" s="21" customFormat="1" ht="19.95" customHeight="1" x14ac:dyDescent="0.25">
      <c r="A504" s="13" t="str">
        <f>"44025"</f>
        <v>44025</v>
      </c>
      <c r="B504" s="14" t="s">
        <v>853</v>
      </c>
      <c r="C504" s="13" t="str">
        <f>"13.3"</f>
        <v>13.3</v>
      </c>
      <c r="D504" s="32">
        <f>(C504*1.24778761061)+(0.4)</f>
        <v>16.995575221113</v>
      </c>
      <c r="E504" s="33">
        <f>(C504*1.16814159292)+(-1)</f>
        <v>14.536283185836002</v>
      </c>
      <c r="F504" s="33">
        <f>(C504*1.1238938053)+(-4.4)</f>
        <v>10.547787610490001</v>
      </c>
      <c r="G504" s="33">
        <f>(C504*1.06194690265)+(-5.9)</f>
        <v>8.2238938052449999</v>
      </c>
      <c r="H504" s="34">
        <f>(C504*1.19469026548)+(0)</f>
        <v>15.889380530884001</v>
      </c>
      <c r="I504" s="34">
        <f>(C504*1.16814159292)+(-2)</f>
        <v>13.536283185836002</v>
      </c>
      <c r="J504" s="34">
        <f>(C504*1.1238938053)+(-3.9)</f>
        <v>11.047787610490001</v>
      </c>
      <c r="K504" s="34">
        <f>(C504*1.07964601769)+(-5.6)</f>
        <v>8.7592920352770012</v>
      </c>
    </row>
    <row r="505" spans="1:11" s="21" customFormat="1" ht="19.95" customHeight="1" x14ac:dyDescent="0.25">
      <c r="A505" s="13" t="str">
        <f>"21062"</f>
        <v>21062</v>
      </c>
      <c r="B505" s="14" t="s">
        <v>854</v>
      </c>
      <c r="C505" s="13" t="str">
        <f>"16.9"</f>
        <v>16.9</v>
      </c>
      <c r="D505" s="32">
        <f>(C505*1.24778761061)+(0.4)</f>
        <v>21.487610619308999</v>
      </c>
      <c r="E505" s="33">
        <f>(C505*1.16814159292)+(-1)</f>
        <v>18.741592920348001</v>
      </c>
      <c r="F505" s="33">
        <f>(C505*1.1238938053)+(-4.4)</f>
        <v>14.59380530957</v>
      </c>
      <c r="G505" s="33">
        <f>(C505*1.06194690265)+(-5.9)</f>
        <v>12.046902654784995</v>
      </c>
      <c r="H505" s="34">
        <f>(C505*1.19469026548)+(0)</f>
        <v>20.190265486611999</v>
      </c>
      <c r="I505" s="34">
        <f>(C505*1.16814159292)+(-2)</f>
        <v>17.741592920348001</v>
      </c>
      <c r="J505" s="34">
        <f>(C505*1.1238938053)+(-3.9)</f>
        <v>15.09380530957</v>
      </c>
      <c r="K505" s="34">
        <f>(C505*1.07964601769)+(-5.6)</f>
        <v>12.646017698960998</v>
      </c>
    </row>
    <row r="506" spans="1:11" s="21" customFormat="1" ht="19.95" customHeight="1" x14ac:dyDescent="0.25">
      <c r="A506" s="13" t="str">
        <f>"3072"</f>
        <v>3072</v>
      </c>
      <c r="B506" s="14" t="s">
        <v>855</v>
      </c>
      <c r="C506" s="13" t="str">
        <f>"16.1"</f>
        <v>16.1</v>
      </c>
      <c r="D506" s="32">
        <f>(C506*1.24778761061)+(0.4)</f>
        <v>20.489380530821002</v>
      </c>
      <c r="E506" s="33">
        <f>(C506*1.16814159292)+(-1)</f>
        <v>17.807079646012003</v>
      </c>
      <c r="F506" s="33">
        <f>(C506*1.1238938053)+(-4.4)</f>
        <v>13.694690265330001</v>
      </c>
      <c r="G506" s="33">
        <f>(C506*1.06194690265)+(-5.9)</f>
        <v>11.197345132665001</v>
      </c>
      <c r="H506" s="34">
        <f>(C506*1.19469026548)+(0)</f>
        <v>19.234513274228004</v>
      </c>
      <c r="I506" s="34">
        <f>(C506*1.16814159292)+(-2)</f>
        <v>16.807079646012003</v>
      </c>
      <c r="J506" s="34">
        <f>(C506*1.1238938053)+(-3.9)</f>
        <v>14.194690265330001</v>
      </c>
      <c r="K506" s="34">
        <f>(C506*1.07964601769)+(-5.6)</f>
        <v>11.782300884809002</v>
      </c>
    </row>
    <row r="507" spans="1:11" s="21" customFormat="1" ht="19.95" customHeight="1" x14ac:dyDescent="0.25">
      <c r="A507" s="13" t="str">
        <f>"16017"</f>
        <v>16017</v>
      </c>
      <c r="B507" s="14" t="s">
        <v>856</v>
      </c>
      <c r="C507" s="13" t="str">
        <f>"24.3"</f>
        <v>24.3</v>
      </c>
      <c r="D507" s="32">
        <f>(C507*1.24778761061)+(0.4)</f>
        <v>30.721238937823003</v>
      </c>
      <c r="E507" s="33">
        <f>(C507*1.16814159292)+(-1)</f>
        <v>27.385840707956003</v>
      </c>
      <c r="F507" s="33">
        <f>(C507*1.1238938053)+(-4.4)</f>
        <v>22.910619468790003</v>
      </c>
      <c r="G507" s="33">
        <f>(C507*1.06194690265)+(-5.9)</f>
        <v>19.905309734394997</v>
      </c>
      <c r="H507" s="34">
        <f>(C507*1.19469026548)+(0)</f>
        <v>29.030973451164002</v>
      </c>
      <c r="I507" s="34">
        <f>(C507*1.16814159292)+(-2)</f>
        <v>26.385840707956003</v>
      </c>
      <c r="J507" s="34">
        <f>(C507*1.1238938053)+(-3.9)</f>
        <v>23.410619468790003</v>
      </c>
      <c r="K507" s="34">
        <f>(C507*1.07964601769)+(-5.6)</f>
        <v>20.635398229867</v>
      </c>
    </row>
    <row r="508" spans="1:11" s="21" customFormat="1" ht="19.95" customHeight="1" x14ac:dyDescent="0.25">
      <c r="A508" s="13" t="str">
        <f>"1017053"</f>
        <v>1017053</v>
      </c>
      <c r="B508" s="14" t="s">
        <v>857</v>
      </c>
      <c r="C508" s="13" t="s">
        <v>76</v>
      </c>
      <c r="D508" s="32" t="s">
        <v>77</v>
      </c>
      <c r="E508" s="33" t="s">
        <v>77</v>
      </c>
      <c r="F508" s="33" t="s">
        <v>77</v>
      </c>
      <c r="G508" s="33" t="s">
        <v>77</v>
      </c>
      <c r="H508" s="34" t="s">
        <v>77</v>
      </c>
      <c r="I508" s="34" t="s">
        <v>77</v>
      </c>
      <c r="J508" s="34" t="s">
        <v>77</v>
      </c>
      <c r="K508" s="34" t="s">
        <v>77</v>
      </c>
    </row>
    <row r="509" spans="1:11" s="21" customFormat="1" ht="19.95" customHeight="1" x14ac:dyDescent="0.25">
      <c r="A509" s="13" t="str">
        <f>"39751"</f>
        <v>39751</v>
      </c>
      <c r="B509" s="14" t="s">
        <v>858</v>
      </c>
      <c r="C509" s="13" t="str">
        <f>"21.1"</f>
        <v>21.1</v>
      </c>
      <c r="D509" s="32">
        <f>(C509*1.24778761061)+(0.4)</f>
        <v>26.728318583871001</v>
      </c>
      <c r="E509" s="33">
        <f>(C509*1.16814159292)+(-1)</f>
        <v>23.647787610612003</v>
      </c>
      <c r="F509" s="33">
        <f>(C509*1.1238938053)+(-4.4)</f>
        <v>19.314159291830002</v>
      </c>
      <c r="G509" s="33">
        <f>(C509*1.06194690265)+(-5.9)</f>
        <v>16.507079645914999</v>
      </c>
      <c r="H509" s="34">
        <f>(C509*1.19469026548)+(0)</f>
        <v>25.207964601628003</v>
      </c>
      <c r="I509" s="34">
        <f>(C509*1.16814159292)+(-2)</f>
        <v>22.647787610612003</v>
      </c>
      <c r="J509" s="34">
        <f>(C509*1.1238938053)+(-3.9)</f>
        <v>19.814159291830006</v>
      </c>
      <c r="K509" s="34">
        <f>(C509*1.07964601769)+(-5.6)</f>
        <v>17.180530973259003</v>
      </c>
    </row>
    <row r="510" spans="1:11" s="21" customFormat="1" ht="19.95" customHeight="1" x14ac:dyDescent="0.25">
      <c r="A510" s="13" t="str">
        <f>"16024"</f>
        <v>16024</v>
      </c>
      <c r="B510" s="14" t="s">
        <v>859</v>
      </c>
      <c r="C510" s="13" t="str">
        <f>"34.1"</f>
        <v>34.1</v>
      </c>
      <c r="D510" s="32">
        <f>(C510*1.24778761061)+(0.4)</f>
        <v>42.949557521801005</v>
      </c>
      <c r="E510" s="33">
        <f>(C510*1.16814159292)+(-1)</f>
        <v>38.833628318572003</v>
      </c>
      <c r="F510" s="33">
        <f>(C510*1.1238938053)+(-4.4)</f>
        <v>33.924778760730007</v>
      </c>
      <c r="G510" s="33">
        <f>(C510*1.06194690265)+(-5.9)</f>
        <v>30.312389380364998</v>
      </c>
      <c r="H510" s="34">
        <f>(C510*1.19469026548)+(0)</f>
        <v>40.738938052868001</v>
      </c>
      <c r="I510" s="34">
        <f>(C510*1.16814159292)+(-2)</f>
        <v>37.833628318572003</v>
      </c>
      <c r="J510" s="34">
        <f>(C510*1.1238938053)+(-3.9)</f>
        <v>34.424778760730007</v>
      </c>
      <c r="K510" s="34">
        <f>(C510*1.07964601769)+(-5.6)</f>
        <v>31.215929203229003</v>
      </c>
    </row>
    <row r="511" spans="1:11" s="21" customFormat="1" ht="19.95" customHeight="1" x14ac:dyDescent="0.25">
      <c r="A511" s="13" t="str">
        <f>"74194"</f>
        <v>74194</v>
      </c>
      <c r="B511" s="14" t="s">
        <v>860</v>
      </c>
      <c r="C511" s="13" t="str">
        <f>"23.3"</f>
        <v>23.3</v>
      </c>
      <c r="D511" s="32">
        <f>(C511*1.24778761061)+(0.4)</f>
        <v>29.473451327213002</v>
      </c>
      <c r="E511" s="33">
        <f>(C511*1.16814159292)+(-1)</f>
        <v>26.217699115036002</v>
      </c>
      <c r="F511" s="33">
        <f>(C511*1.1238938053)+(-4.4)</f>
        <v>21.786725663490003</v>
      </c>
      <c r="G511" s="33">
        <f>(C511*1.06194690265)+(-5.9)</f>
        <v>18.843362831744997</v>
      </c>
      <c r="H511" s="34">
        <f>(C511*1.19469026548)+(0)</f>
        <v>27.836283185684</v>
      </c>
      <c r="I511" s="34">
        <f>(C511*1.16814159292)+(-2)</f>
        <v>25.217699115036002</v>
      </c>
      <c r="J511" s="34">
        <f>(C511*1.1238938053)+(-3.9)</f>
        <v>22.286725663490003</v>
      </c>
      <c r="K511" s="34">
        <f>(C511*1.07964601769)+(-5.6)</f>
        <v>19.555752212177005</v>
      </c>
    </row>
    <row r="512" spans="1:11" s="21" customFormat="1" ht="19.95" customHeight="1" x14ac:dyDescent="0.25">
      <c r="A512" s="13" t="str">
        <f>"1013018"</f>
        <v>1013018</v>
      </c>
      <c r="B512" s="14" t="s">
        <v>861</v>
      </c>
      <c r="C512" s="13" t="str">
        <f>"31.5"</f>
        <v>31.5</v>
      </c>
      <c r="D512" s="32">
        <f>(C512*1.24778761061)+(0.4)</f>
        <v>39.705309734215</v>
      </c>
      <c r="E512" s="33">
        <f>(C512*1.16814159292)+(-1)</f>
        <v>35.796460176980005</v>
      </c>
      <c r="F512" s="33">
        <f>(C512*1.1238938053)+(-4.4)</f>
        <v>31.002654866950003</v>
      </c>
      <c r="G512" s="33">
        <f>(C512*1.06194690265)+(-5.9)</f>
        <v>27.551327433475002</v>
      </c>
      <c r="H512" s="34">
        <f>(C512*1.19469026548)+(0)</f>
        <v>37.632743362619998</v>
      </c>
      <c r="I512" s="34">
        <f>(C512*1.16814159292)+(-2)</f>
        <v>34.796460176980005</v>
      </c>
      <c r="J512" s="34">
        <f>(C512*1.1238938053)+(-3.9)</f>
        <v>31.502654866950003</v>
      </c>
      <c r="K512" s="34">
        <f>(C512*1.07964601769)+(-5.6)</f>
        <v>28.408849557235001</v>
      </c>
    </row>
    <row r="513" spans="1:11" s="21" customFormat="1" ht="19.95" customHeight="1" x14ac:dyDescent="0.25">
      <c r="A513" s="13" t="str">
        <f>"73847"</f>
        <v>73847</v>
      </c>
      <c r="B513" s="14" t="s">
        <v>862</v>
      </c>
      <c r="C513" s="13" t="str">
        <f>"17.0"</f>
        <v>17.0</v>
      </c>
      <c r="D513" s="32">
        <f>(C513*1.24778761061)+(0.4)</f>
        <v>21.612389380370001</v>
      </c>
      <c r="E513" s="33">
        <f>(C513*1.16814159292)+(-1)</f>
        <v>18.858407079640003</v>
      </c>
      <c r="F513" s="33">
        <f>(C513*1.1238938053)+(-4.4)</f>
        <v>14.7061946901</v>
      </c>
      <c r="G513" s="33">
        <f>(C513*1.06194690265)+(-5.9)</f>
        <v>12.153097345049998</v>
      </c>
      <c r="H513" s="34">
        <f>(C513*1.19469026548)+(0)</f>
        <v>20.309734513159999</v>
      </c>
      <c r="I513" s="34">
        <f>(C513*1.16814159292)+(-2)</f>
        <v>17.858407079640003</v>
      </c>
      <c r="J513" s="34">
        <f>(C513*1.1238938053)+(-3.9)</f>
        <v>15.2061946901</v>
      </c>
      <c r="K513" s="34">
        <f>(C513*1.07964601769)+(-5.6)</f>
        <v>12.75398230073</v>
      </c>
    </row>
    <row r="514" spans="1:11" s="21" customFormat="1" ht="19.95" customHeight="1" x14ac:dyDescent="0.25">
      <c r="A514" s="13" t="str">
        <f>"1008811"</f>
        <v>1008811</v>
      </c>
      <c r="B514" s="14" t="s">
        <v>863</v>
      </c>
      <c r="C514" s="13" t="str">
        <f>"26.6"</f>
        <v>26.6</v>
      </c>
      <c r="D514" s="32">
        <f>(C514*1.24778761061)+(0.4)</f>
        <v>33.591150442226002</v>
      </c>
      <c r="E514" s="33">
        <f>(C514*1.16814159292)+(-1)</f>
        <v>30.072566371672004</v>
      </c>
      <c r="F514" s="33">
        <f>(C514*1.1238938053)+(-4.4)</f>
        <v>25.495575220980001</v>
      </c>
      <c r="G514" s="33">
        <f>(C514*1.06194690265)+(-5.9)</f>
        <v>22.347787610490002</v>
      </c>
      <c r="H514" s="34">
        <f>(C514*1.19469026548)+(0)</f>
        <v>31.778761061768002</v>
      </c>
      <c r="I514" s="34">
        <f>(C514*1.16814159292)+(-2)</f>
        <v>29.072566371672004</v>
      </c>
      <c r="J514" s="34">
        <f>(C514*1.1238938053)+(-3.9)</f>
        <v>25.995575220980005</v>
      </c>
      <c r="K514" s="34">
        <f>(C514*1.07964601769)+(-5.6)</f>
        <v>23.118584070554</v>
      </c>
    </row>
    <row r="515" spans="1:11" s="21" customFormat="1" ht="19.95" customHeight="1" x14ac:dyDescent="0.25">
      <c r="A515" s="13" t="str">
        <f>"1008812"</f>
        <v>1008812</v>
      </c>
      <c r="B515" s="14" t="s">
        <v>864</v>
      </c>
      <c r="C515" s="13" t="str">
        <f>"15.1"</f>
        <v>15.1</v>
      </c>
      <c r="D515" s="32">
        <f>(C515*1.24778761061)+(0.4)</f>
        <v>19.241592920210998</v>
      </c>
      <c r="E515" s="33">
        <f>(C515*1.16814159292)+(-1)</f>
        <v>16.638938053092001</v>
      </c>
      <c r="F515" s="33">
        <f>(C515*1.1238938053)+(-4.4)</f>
        <v>12.570796460030001</v>
      </c>
      <c r="G515" s="33">
        <f>(C515*1.06194690265)+(-5.9)</f>
        <v>10.135398230014998</v>
      </c>
      <c r="H515" s="34">
        <f>(C515*1.19469026548)+(0)</f>
        <v>18.039823008747998</v>
      </c>
      <c r="I515" s="34">
        <f>(C515*1.16814159292)+(-2)</f>
        <v>15.638938053092001</v>
      </c>
      <c r="J515" s="34">
        <f>(C515*1.1238938053)+(-3.9)</f>
        <v>13.070796460030001</v>
      </c>
      <c r="K515" s="34">
        <f>(C515*1.07964601769)+(-5.6)</f>
        <v>10.702654867119</v>
      </c>
    </row>
    <row r="516" spans="1:11" s="21" customFormat="1" ht="19.95" customHeight="1" x14ac:dyDescent="0.25">
      <c r="A516" s="13" t="str">
        <f>"36461"</f>
        <v>36461</v>
      </c>
      <c r="B516" s="14" t="s">
        <v>865</v>
      </c>
      <c r="C516" s="13" t="str">
        <f>"19.7"</f>
        <v>19.7</v>
      </c>
      <c r="D516" s="32">
        <f>(C516*1.24778761061)+(0.4)</f>
        <v>24.981415929017</v>
      </c>
      <c r="E516" s="33">
        <f>(C516*1.16814159292)+(-1)</f>
        <v>22.012389380524002</v>
      </c>
      <c r="F516" s="33">
        <f>(C516*1.1238938053)+(-4.4)</f>
        <v>17.740707964409999</v>
      </c>
      <c r="G516" s="33">
        <f>(C516*1.06194690265)+(-5.9)</f>
        <v>15.020353982204997</v>
      </c>
      <c r="H516" s="34">
        <f>(C516*1.19469026548)+(0)</f>
        <v>23.535398229955998</v>
      </c>
      <c r="I516" s="34">
        <f>(C516*1.16814159292)+(-2)</f>
        <v>21.012389380524002</v>
      </c>
      <c r="J516" s="34">
        <f>(C516*1.1238938053)+(-3.9)</f>
        <v>18.240707964410003</v>
      </c>
      <c r="K516" s="34">
        <f>(C516*1.07964601769)+(-5.6)</f>
        <v>15.669026548492999</v>
      </c>
    </row>
    <row r="517" spans="1:11" s="21" customFormat="1" ht="19.95" customHeight="1" x14ac:dyDescent="0.25">
      <c r="A517" s="13" t="str">
        <f>"16029"</f>
        <v>16029</v>
      </c>
      <c r="B517" s="14" t="s">
        <v>866</v>
      </c>
      <c r="C517" s="13" t="str">
        <f>"23.4"</f>
        <v>23.4</v>
      </c>
      <c r="D517" s="32">
        <f>(C517*1.24778761061)+(0.4)</f>
        <v>29.598230088274001</v>
      </c>
      <c r="E517" s="33">
        <f>(C517*1.16814159292)+(-1)</f>
        <v>26.334513274328</v>
      </c>
      <c r="F517" s="33">
        <f>(C517*1.1238938053)+(-4.4)</f>
        <v>21.89911504402</v>
      </c>
      <c r="G517" s="33">
        <f>(C517*1.06194690265)+(-5.9)</f>
        <v>18.949557522009997</v>
      </c>
      <c r="H517" s="34">
        <f>(C517*1.19469026548)+(0)</f>
        <v>27.955752212231999</v>
      </c>
      <c r="I517" s="34">
        <f>(C517*1.16814159292)+(-2)</f>
        <v>25.334513274328</v>
      </c>
      <c r="J517" s="34">
        <f>(C517*1.1238938053)+(-3.9)</f>
        <v>22.39911504402</v>
      </c>
      <c r="K517" s="34">
        <f>(C517*1.07964601769)+(-5.6)</f>
        <v>19.663716813945996</v>
      </c>
    </row>
    <row r="518" spans="1:11" s="21" customFormat="1" ht="19.95" customHeight="1" x14ac:dyDescent="0.25">
      <c r="A518" s="13" t="str">
        <f>"16033"</f>
        <v>16033</v>
      </c>
      <c r="B518" s="14" t="s">
        <v>867</v>
      </c>
      <c r="C518" s="13" t="str">
        <f>"12.7"</f>
        <v>12.7</v>
      </c>
      <c r="D518" s="32">
        <f>(C518*1.24778761061)+(0.4)</f>
        <v>16.246902654747</v>
      </c>
      <c r="E518" s="33">
        <f>(C518*1.16814159292)+(-1)</f>
        <v>13.835398230083999</v>
      </c>
      <c r="F518" s="33">
        <f>(C518*1.1238938053)+(-4.4)</f>
        <v>9.8734513273099989</v>
      </c>
      <c r="G518" s="33">
        <f>(C518*1.06194690265)+(-5.9)</f>
        <v>7.5867256636549971</v>
      </c>
      <c r="H518" s="34">
        <f>(C518*1.19469026548)+(0)</f>
        <v>15.172566371596</v>
      </c>
      <c r="I518" s="34">
        <f>(C518*1.16814159292)+(-2)</f>
        <v>12.835398230083999</v>
      </c>
      <c r="J518" s="34">
        <f>(C518*1.1238938053)+(-3.9)</f>
        <v>10.373451327309999</v>
      </c>
      <c r="K518" s="34">
        <f>(C518*1.07964601769)+(-5.6)</f>
        <v>8.1115044246629999</v>
      </c>
    </row>
    <row r="519" spans="1:11" s="21" customFormat="1" ht="19.95" customHeight="1" x14ac:dyDescent="0.25">
      <c r="A519" s="13" t="str">
        <f>"66271"</f>
        <v>66271</v>
      </c>
      <c r="B519" s="14" t="s">
        <v>868</v>
      </c>
      <c r="C519" s="13" t="str">
        <f>"15.6"</f>
        <v>15.6</v>
      </c>
      <c r="D519" s="32">
        <f>(C519*1.24778761061)+(0.4)</f>
        <v>19.865486725516</v>
      </c>
      <c r="E519" s="33">
        <f>(C519*1.16814159292)+(-1)</f>
        <v>17.223008849552002</v>
      </c>
      <c r="F519" s="33">
        <f>(C519*1.1238938053)+(-4.4)</f>
        <v>13.132743362680001</v>
      </c>
      <c r="G519" s="33">
        <f>(C519*1.06194690265)+(-5.9)</f>
        <v>10.666371681339998</v>
      </c>
      <c r="H519" s="34">
        <f>(C519*1.19469026548)+(0)</f>
        <v>18.637168141488001</v>
      </c>
      <c r="I519" s="34">
        <f>(C519*1.16814159292)+(-2)</f>
        <v>16.223008849552002</v>
      </c>
      <c r="J519" s="34">
        <f>(C519*1.1238938053)+(-3.9)</f>
        <v>13.632743362680001</v>
      </c>
      <c r="K519" s="34">
        <f>(C519*1.07964601769)+(-5.6)</f>
        <v>11.242477875964001</v>
      </c>
    </row>
    <row r="520" spans="1:11" s="21" customFormat="1" ht="19.95" customHeight="1" x14ac:dyDescent="0.25">
      <c r="A520" s="13" t="str">
        <f>"1004347"</f>
        <v>1004347</v>
      </c>
      <c r="B520" s="14" t="s">
        <v>869</v>
      </c>
      <c r="C520" s="13" t="str">
        <f>"26.6"</f>
        <v>26.6</v>
      </c>
      <c r="D520" s="32">
        <f>(C520*1.24778761061)+(0.4)</f>
        <v>33.591150442226002</v>
      </c>
      <c r="E520" s="33">
        <f>(C520*1.16814159292)+(-1)</f>
        <v>30.072566371672004</v>
      </c>
      <c r="F520" s="33">
        <f>(C520*1.1238938053)+(-4.4)</f>
        <v>25.495575220980001</v>
      </c>
      <c r="G520" s="33">
        <f>(C520*1.06194690265)+(-5.9)</f>
        <v>22.347787610490002</v>
      </c>
      <c r="H520" s="34">
        <f>(C520*1.19469026548)+(0)</f>
        <v>31.778761061768002</v>
      </c>
      <c r="I520" s="34">
        <f>(C520*1.16814159292)+(-2)</f>
        <v>29.072566371672004</v>
      </c>
      <c r="J520" s="34">
        <f>(C520*1.1238938053)+(-3.9)</f>
        <v>25.995575220980005</v>
      </c>
      <c r="K520" s="34">
        <f>(C520*1.07964601769)+(-5.6)</f>
        <v>23.118584070554</v>
      </c>
    </row>
    <row r="521" spans="1:11" s="21" customFormat="1" ht="19.95" customHeight="1" x14ac:dyDescent="0.25">
      <c r="A521" s="13" t="str">
        <f>"16039"</f>
        <v>16039</v>
      </c>
      <c r="B521" s="14" t="s">
        <v>870</v>
      </c>
      <c r="C521" s="13" t="str">
        <f>"21.4"</f>
        <v>21.4</v>
      </c>
      <c r="D521" s="32">
        <f>(C521*1.24778761061)+(0.4)</f>
        <v>27.102654867054</v>
      </c>
      <c r="E521" s="33">
        <f>(C521*1.16814159292)+(-1)</f>
        <v>23.998230088488</v>
      </c>
      <c r="F521" s="33">
        <f>(C521*1.1238938053)+(-4.4)</f>
        <v>19.651327433420001</v>
      </c>
      <c r="G521" s="33">
        <f>(C521*1.06194690265)+(-5.9)</f>
        <v>16.825663716709997</v>
      </c>
      <c r="H521" s="34">
        <f>(C521*1.19469026548)+(0)</f>
        <v>25.566371681271999</v>
      </c>
      <c r="I521" s="34">
        <f>(C521*1.16814159292)+(-2)</f>
        <v>22.998230088488</v>
      </c>
      <c r="J521" s="34">
        <f>(C521*1.1238938053)+(-3.9)</f>
        <v>20.151327433420001</v>
      </c>
      <c r="K521" s="34">
        <f>(C521*1.07964601769)+(-5.6)</f>
        <v>17.504424778565998</v>
      </c>
    </row>
    <row r="522" spans="1:11" s="21" customFormat="1" ht="19.95" customHeight="1" x14ac:dyDescent="0.25">
      <c r="A522" s="13" t="str">
        <f>"40094"</f>
        <v>40094</v>
      </c>
      <c r="B522" s="14" t="s">
        <v>871</v>
      </c>
      <c r="C522" s="13" t="str">
        <f>"8.9"</f>
        <v>8.9</v>
      </c>
      <c r="D522" s="32">
        <f>(C522*1.24778761061)+(0.4)</f>
        <v>11.505309734429002</v>
      </c>
      <c r="E522" s="33">
        <f>(C522*1.16814159292)+(-1)</f>
        <v>9.3964601769880005</v>
      </c>
      <c r="F522" s="33">
        <f>(C522*1.1238938053)+(-4.4)</f>
        <v>5.6026548671700009</v>
      </c>
      <c r="G522" s="33">
        <f>(C522*1.06194690265)+(-5.9)</f>
        <v>3.5513274335849996</v>
      </c>
      <c r="H522" s="34">
        <f>(C522*1.19469026548)+(0)</f>
        <v>10.632743362772</v>
      </c>
      <c r="I522" s="34">
        <f>(C522*1.16814159292)+(-2)</f>
        <v>8.3964601769880005</v>
      </c>
      <c r="J522" s="34">
        <f>(C522*1.1238938053)+(-3.9)</f>
        <v>6.1026548671700009</v>
      </c>
      <c r="K522" s="34">
        <f>(C522*1.07964601769)+(-5.6)</f>
        <v>4.0088495574410015</v>
      </c>
    </row>
    <row r="523" spans="1:11" s="21" customFormat="1" ht="19.95" customHeight="1" x14ac:dyDescent="0.25">
      <c r="A523" s="13" t="str">
        <f>"66822"</f>
        <v>66822</v>
      </c>
      <c r="B523" s="14" t="s">
        <v>872</v>
      </c>
      <c r="C523" s="13" t="str">
        <f>"18.8"</f>
        <v>18.8</v>
      </c>
      <c r="D523" s="32">
        <f>(C523*1.24778761061)+(0.4)</f>
        <v>23.858407079468002</v>
      </c>
      <c r="E523" s="33">
        <f>(C523*1.16814159292)+(-1)</f>
        <v>20.961061946896002</v>
      </c>
      <c r="F523" s="33">
        <f>(C523*1.1238938053)+(-4.4)</f>
        <v>16.729203539640004</v>
      </c>
      <c r="G523" s="33">
        <f>(C523*1.06194690265)+(-5.9)</f>
        <v>14.064601769819999</v>
      </c>
      <c r="H523" s="34">
        <f>(C523*1.19469026548)+(0)</f>
        <v>22.460176991023999</v>
      </c>
      <c r="I523" s="34">
        <f>(C523*1.16814159292)+(-2)</f>
        <v>19.961061946896002</v>
      </c>
      <c r="J523" s="34">
        <f>(C523*1.1238938053)+(-3.9)</f>
        <v>17.229203539640004</v>
      </c>
      <c r="K523" s="34">
        <f>(C523*1.07964601769)+(-5.6)</f>
        <v>14.697345132572002</v>
      </c>
    </row>
    <row r="524" spans="1:11" s="21" customFormat="1" ht="19.95" customHeight="1" x14ac:dyDescent="0.25">
      <c r="A524" s="13" t="str">
        <f>"1015286"</f>
        <v>1015286</v>
      </c>
      <c r="B524" s="14" t="s">
        <v>873</v>
      </c>
      <c r="C524" s="13" t="str">
        <f>"18.7"</f>
        <v>18.7</v>
      </c>
      <c r="D524" s="32">
        <f>(C524*1.24778761061)+(0.4)</f>
        <v>23.733628318407</v>
      </c>
      <c r="E524" s="33">
        <f>(C524*1.16814159292)+(-1)</f>
        <v>20.844247787604001</v>
      </c>
      <c r="F524" s="33">
        <f>(C524*1.1238938053)+(-4.4)</f>
        <v>16.61681415911</v>
      </c>
      <c r="G524" s="33">
        <f>(C524*1.06194690265)+(-5.9)</f>
        <v>13.958407079554997</v>
      </c>
      <c r="H524" s="34">
        <f>(C524*1.19469026548)+(0)</f>
        <v>22.340707964476</v>
      </c>
      <c r="I524" s="34">
        <f>(C524*1.16814159292)+(-2)</f>
        <v>19.844247787604001</v>
      </c>
      <c r="J524" s="34">
        <f>(C524*1.1238938053)+(-3.9)</f>
        <v>17.116814159110003</v>
      </c>
      <c r="K524" s="34">
        <f>(C524*1.07964601769)+(-5.6)</f>
        <v>14.589380530803</v>
      </c>
    </row>
    <row r="525" spans="1:11" s="21" customFormat="1" ht="19.95" customHeight="1" x14ac:dyDescent="0.25">
      <c r="A525" s="13" t="str">
        <f>"48955"</f>
        <v>48955</v>
      </c>
      <c r="B525" s="14" t="s">
        <v>874</v>
      </c>
      <c r="C525" s="13" t="str">
        <f>"12.2"</f>
        <v>12.2</v>
      </c>
      <c r="D525" s="32">
        <f>(C525*1.24778761061)+(0.4)</f>
        <v>15.623008849442</v>
      </c>
      <c r="E525" s="33">
        <f>(C525*1.16814159292)+(-1)</f>
        <v>13.251327433624001</v>
      </c>
      <c r="F525" s="33">
        <f>(C525*1.1238938053)+(-4.4)</f>
        <v>9.3115044246599989</v>
      </c>
      <c r="G525" s="33">
        <f>(C525*1.06194690265)+(-5.9)</f>
        <v>7.0557522123299972</v>
      </c>
      <c r="H525" s="34">
        <f>(C525*1.19469026548)+(0)</f>
        <v>14.575221238855999</v>
      </c>
      <c r="I525" s="34">
        <f>(C525*1.16814159292)+(-2)</f>
        <v>12.251327433624001</v>
      </c>
      <c r="J525" s="34">
        <f>(C525*1.1238938053)+(-3.9)</f>
        <v>9.8115044246599989</v>
      </c>
      <c r="K525" s="34">
        <f>(C525*1.07964601769)+(-5.6)</f>
        <v>7.5716814158180004</v>
      </c>
    </row>
    <row r="526" spans="1:11" s="21" customFormat="1" ht="19.95" customHeight="1" x14ac:dyDescent="0.25">
      <c r="A526" s="13" t="str">
        <f>"16044"</f>
        <v>16044</v>
      </c>
      <c r="B526" s="14" t="s">
        <v>875</v>
      </c>
      <c r="C526" s="13" t="str">
        <f>"18.8"</f>
        <v>18.8</v>
      </c>
      <c r="D526" s="32">
        <f>(C526*1.24778761061)+(0.4)</f>
        <v>23.858407079468002</v>
      </c>
      <c r="E526" s="33">
        <f>(C526*1.16814159292)+(-1)</f>
        <v>20.961061946896002</v>
      </c>
      <c r="F526" s="33">
        <f>(C526*1.1238938053)+(-4.4)</f>
        <v>16.729203539640004</v>
      </c>
      <c r="G526" s="33">
        <f>(C526*1.06194690265)+(-5.9)</f>
        <v>14.064601769819999</v>
      </c>
      <c r="H526" s="34">
        <f>(C526*1.19469026548)+(0)</f>
        <v>22.460176991023999</v>
      </c>
      <c r="I526" s="34">
        <f>(C526*1.16814159292)+(-2)</f>
        <v>19.961061946896002</v>
      </c>
      <c r="J526" s="34">
        <f>(C526*1.1238938053)+(-3.9)</f>
        <v>17.229203539640004</v>
      </c>
      <c r="K526" s="34">
        <f>(C526*1.07964601769)+(-5.6)</f>
        <v>14.697345132572002</v>
      </c>
    </row>
    <row r="527" spans="1:11" s="21" customFormat="1" ht="19.95" customHeight="1" x14ac:dyDescent="0.25">
      <c r="A527" s="13" t="str">
        <f>"16047"</f>
        <v>16047</v>
      </c>
      <c r="B527" s="14" t="s">
        <v>876</v>
      </c>
      <c r="C527" s="13" t="str">
        <f>"9.0"</f>
        <v>9.0</v>
      </c>
      <c r="D527" s="32">
        <f>(C527*1.24778761061)+(0.4)</f>
        <v>11.630088495490002</v>
      </c>
      <c r="E527" s="33">
        <f>(C527*1.16814159292)+(-1)</f>
        <v>9.5132743362800003</v>
      </c>
      <c r="F527" s="33">
        <f>(C527*1.1238938053)+(-4.4)</f>
        <v>5.7150442476999999</v>
      </c>
      <c r="G527" s="33">
        <f>(C527*1.06194690265)+(-5.9)</f>
        <v>3.6575221238499989</v>
      </c>
      <c r="H527" s="34">
        <f>(C527*1.19469026548)+(0)</f>
        <v>10.75221238932</v>
      </c>
      <c r="I527" s="34">
        <f>(C527*1.16814159292)+(-2)</f>
        <v>8.5132743362800003</v>
      </c>
      <c r="J527" s="34">
        <f>(C527*1.1238938053)+(-3.9)</f>
        <v>6.2150442476999999</v>
      </c>
      <c r="K527" s="34">
        <f>(C527*1.07964601769)+(-5.6)</f>
        <v>4.1168141592099996</v>
      </c>
    </row>
    <row r="528" spans="1:11" s="21" customFormat="1" ht="19.95" customHeight="1" x14ac:dyDescent="0.25">
      <c r="A528" s="13" t="str">
        <f>"1005065"</f>
        <v>1005065</v>
      </c>
      <c r="B528" s="14" t="s">
        <v>877</v>
      </c>
      <c r="C528" s="13" t="str">
        <f>"30.3"</f>
        <v>30.3</v>
      </c>
      <c r="D528" s="32">
        <f>(C528*1.24778761061)+(0.4)</f>
        <v>38.207964601482999</v>
      </c>
      <c r="E528" s="33">
        <f>(C528*1.16814159292)+(-1)</f>
        <v>34.394690265476001</v>
      </c>
      <c r="F528" s="33">
        <f>(C528*1.1238938053)+(-4.4)</f>
        <v>29.653982300590002</v>
      </c>
      <c r="G528" s="33">
        <f>(C528*1.06194690265)+(-5.9)</f>
        <v>26.276991150294997</v>
      </c>
      <c r="H528" s="34">
        <f>(C528*1.19469026548)+(0)</f>
        <v>36.199115044043999</v>
      </c>
      <c r="I528" s="34">
        <f>(C528*1.16814159292)+(-2)</f>
        <v>33.394690265476001</v>
      </c>
      <c r="J528" s="34">
        <f>(C528*1.1238938053)+(-3.9)</f>
        <v>30.153982300590002</v>
      </c>
      <c r="K528" s="34">
        <f>(C528*1.07964601769)+(-5.6)</f>
        <v>27.113274336007002</v>
      </c>
    </row>
    <row r="529" spans="1:11" s="21" customFormat="1" ht="19.95" customHeight="1" x14ac:dyDescent="0.25">
      <c r="A529" s="13" t="str">
        <f>"16048"</f>
        <v>16048</v>
      </c>
      <c r="B529" s="14" t="s">
        <v>878</v>
      </c>
      <c r="C529" s="13" t="str">
        <f>"27.1"</f>
        <v>27.1</v>
      </c>
      <c r="D529" s="32">
        <f>(C529*1.24778761061)+(0.4)</f>
        <v>34.215044247531004</v>
      </c>
      <c r="E529" s="33">
        <f>(C529*1.16814159292)+(-1)</f>
        <v>30.656637168132004</v>
      </c>
      <c r="F529" s="33">
        <f>(C529*1.1238938053)+(-4.4)</f>
        <v>26.057522123630001</v>
      </c>
      <c r="G529" s="33">
        <f>(C529*1.06194690265)+(-5.9)</f>
        <v>22.878761061814998</v>
      </c>
      <c r="H529" s="34">
        <f>(C529*1.19469026548)+(0)</f>
        <v>32.376106194508004</v>
      </c>
      <c r="I529" s="34">
        <f>(C529*1.16814159292)+(-2)</f>
        <v>29.656637168132004</v>
      </c>
      <c r="J529" s="34">
        <f>(C529*1.1238938053)+(-3.9)</f>
        <v>26.557522123630005</v>
      </c>
      <c r="K529" s="34">
        <f>(C529*1.07964601769)+(-5.6)</f>
        <v>23.658407079399005</v>
      </c>
    </row>
    <row r="530" spans="1:11" s="21" customFormat="1" ht="19.95" customHeight="1" x14ac:dyDescent="0.25">
      <c r="A530" s="13" t="str">
        <f>"49976"</f>
        <v>49976</v>
      </c>
      <c r="B530" s="14" t="s">
        <v>879</v>
      </c>
      <c r="C530" s="13" t="str">
        <f>"16.5"</f>
        <v>16.5</v>
      </c>
      <c r="D530" s="32">
        <f>(C530*1.24778761061)+(0.4)</f>
        <v>20.988495575064999</v>
      </c>
      <c r="E530" s="33">
        <f>(C530*1.16814159292)+(-1)</f>
        <v>18.274336283180002</v>
      </c>
      <c r="F530" s="33">
        <f>(C530*1.1238938053)+(-4.4)</f>
        <v>14.14424778745</v>
      </c>
      <c r="G530" s="33">
        <f>(C530*1.06194690265)+(-5.9)</f>
        <v>11.622123893724998</v>
      </c>
      <c r="H530" s="34">
        <f>(C530*1.19469026548)+(0)</f>
        <v>19.712389380419999</v>
      </c>
      <c r="I530" s="34">
        <f>(C530*1.16814159292)+(-2)</f>
        <v>17.274336283180002</v>
      </c>
      <c r="J530" s="34">
        <f>(C530*1.1238938053)+(-3.9)</f>
        <v>14.64424778745</v>
      </c>
      <c r="K530" s="34">
        <f>(C530*1.07964601769)+(-5.6)</f>
        <v>12.214159291885002</v>
      </c>
    </row>
    <row r="531" spans="1:11" s="21" customFormat="1" ht="19.95" customHeight="1" x14ac:dyDescent="0.25">
      <c r="A531" s="13" t="str">
        <f>"16050"</f>
        <v>16050</v>
      </c>
      <c r="B531" s="14" t="s">
        <v>880</v>
      </c>
      <c r="C531" s="13" t="str">
        <f>"18.1"</f>
        <v>18.1</v>
      </c>
      <c r="D531" s="32">
        <f>(C531*1.24778761061)+(0.4)</f>
        <v>22.984955752041003</v>
      </c>
      <c r="E531" s="33">
        <f>(C531*1.16814159292)+(-1)</f>
        <v>20.143362831852002</v>
      </c>
      <c r="F531" s="33">
        <f>(C531*1.1238938053)+(-4.4)</f>
        <v>15.942477875930001</v>
      </c>
      <c r="G531" s="33">
        <f>(C531*1.06194690265)+(-5.9)</f>
        <v>13.321238937965001</v>
      </c>
      <c r="H531" s="34">
        <f>(C531*1.19469026548)+(0)</f>
        <v>21.623893805188001</v>
      </c>
      <c r="I531" s="34">
        <f>(C531*1.16814159292)+(-2)</f>
        <v>19.143362831852002</v>
      </c>
      <c r="J531" s="34">
        <f>(C531*1.1238938053)+(-3.9)</f>
        <v>16.442477875930003</v>
      </c>
      <c r="K531" s="34">
        <f>(C531*1.07964601769)+(-5.6)</f>
        <v>13.941592920189001</v>
      </c>
    </row>
    <row r="532" spans="1:11" s="21" customFormat="1" ht="19.95" customHeight="1" x14ac:dyDescent="0.25">
      <c r="A532" s="13" t="str">
        <f>"1000194"</f>
        <v>1000194</v>
      </c>
      <c r="B532" s="14" t="s">
        <v>881</v>
      </c>
      <c r="C532" s="13" t="str">
        <f>"35.4"</f>
        <v>35.4</v>
      </c>
      <c r="D532" s="32">
        <f>(C532*1.24778761061)+(0.4)</f>
        <v>44.571681415594</v>
      </c>
      <c r="E532" s="33">
        <f>(C532*1.16814159292)+(-1)</f>
        <v>40.352212389367999</v>
      </c>
      <c r="F532" s="33">
        <f>(C532*1.1238938053)+(-4.4)</f>
        <v>35.385840707619998</v>
      </c>
      <c r="G532" s="33">
        <f>(C532*1.06194690265)+(-5.9)</f>
        <v>31.692920353809996</v>
      </c>
      <c r="H532" s="34">
        <f>(C532*1.19469026548)+(0)</f>
        <v>42.292035397992002</v>
      </c>
      <c r="I532" s="34">
        <f>(C532*1.16814159292)+(-2)</f>
        <v>39.352212389367999</v>
      </c>
      <c r="J532" s="34">
        <f>(C532*1.1238938053)+(-3.9)</f>
        <v>35.885840707619998</v>
      </c>
      <c r="K532" s="34">
        <f>(C532*1.07964601769)+(-5.6)</f>
        <v>32.619469026226</v>
      </c>
    </row>
    <row r="533" spans="1:11" s="21" customFormat="1" ht="19.95" customHeight="1" x14ac:dyDescent="0.25">
      <c r="A533" s="13" t="str">
        <f>"16053"</f>
        <v>16053</v>
      </c>
      <c r="B533" s="14" t="s">
        <v>882</v>
      </c>
      <c r="C533" s="13" t="str">
        <f>"22.7"</f>
        <v>22.7</v>
      </c>
      <c r="D533" s="32">
        <f>(C533*1.24778761061)+(0.4)</f>
        <v>28.724778760846998</v>
      </c>
      <c r="E533" s="33">
        <f>(C533*1.16814159292)+(-1)</f>
        <v>25.516814159283999</v>
      </c>
      <c r="F533" s="33">
        <f>(C533*1.1238938053)+(-4.4)</f>
        <v>21.112389380309999</v>
      </c>
      <c r="G533" s="33">
        <f>(C533*1.06194690265)+(-5.9)</f>
        <v>18.206194690154994</v>
      </c>
      <c r="H533" s="34">
        <f>(C533*1.19469026548)+(0)</f>
        <v>27.119469026396001</v>
      </c>
      <c r="I533" s="34">
        <f>(C533*1.16814159292)+(-2)</f>
        <v>24.516814159283999</v>
      </c>
      <c r="J533" s="34">
        <f>(C533*1.1238938053)+(-3.9)</f>
        <v>21.612389380310002</v>
      </c>
      <c r="K533" s="34">
        <f>(C533*1.07964601769)+(-5.6)</f>
        <v>18.907964601563002</v>
      </c>
    </row>
    <row r="534" spans="1:11" s="21" customFormat="1" ht="19.95" customHeight="1" x14ac:dyDescent="0.25">
      <c r="A534" s="13" t="str">
        <f>"16054"</f>
        <v>16054</v>
      </c>
      <c r="B534" s="14" t="s">
        <v>883</v>
      </c>
      <c r="C534" s="13" t="str">
        <f>"7.6"</f>
        <v>7.6</v>
      </c>
      <c r="D534" s="32">
        <f>(C534*1.24778761061)+(0.4)</f>
        <v>9.8831858406360009</v>
      </c>
      <c r="E534" s="33">
        <f>(C534*1.16814159292)+(-1)</f>
        <v>7.8778761061919997</v>
      </c>
      <c r="F534" s="33">
        <f>(C534*1.1238938053)+(-4.4)</f>
        <v>4.141592920279999</v>
      </c>
      <c r="G534" s="33">
        <f>(C534*1.06194690265)+(-5.9)</f>
        <v>2.1707964601399983</v>
      </c>
      <c r="H534" s="34">
        <f>(C534*1.19469026548)+(0)</f>
        <v>9.0796460176479989</v>
      </c>
      <c r="I534" s="34">
        <f>(C534*1.16814159292)+(-2)</f>
        <v>6.8778761061919997</v>
      </c>
      <c r="J534" s="34">
        <f>(C534*1.1238938053)+(-3.9)</f>
        <v>4.641592920279999</v>
      </c>
      <c r="K534" s="34">
        <f>(C534*1.07964601769)+(-5.6)</f>
        <v>2.6053097344440008</v>
      </c>
    </row>
    <row r="535" spans="1:11" s="21" customFormat="1" ht="19.95" customHeight="1" x14ac:dyDescent="0.25">
      <c r="A535" s="13" t="str">
        <f>"16056"</f>
        <v>16056</v>
      </c>
      <c r="B535" s="14" t="s">
        <v>884</v>
      </c>
      <c r="C535" s="13" t="str">
        <f>"17.0"</f>
        <v>17.0</v>
      </c>
      <c r="D535" s="32">
        <f>(C535*1.24778761061)+(0.4)</f>
        <v>21.612389380370001</v>
      </c>
      <c r="E535" s="33">
        <f>(C535*1.16814159292)+(-1)</f>
        <v>18.858407079640003</v>
      </c>
      <c r="F535" s="33">
        <f>(C535*1.1238938053)+(-4.4)</f>
        <v>14.7061946901</v>
      </c>
      <c r="G535" s="33">
        <f>(C535*1.06194690265)+(-5.9)</f>
        <v>12.153097345049998</v>
      </c>
      <c r="H535" s="34">
        <f>(C535*1.19469026548)+(0)</f>
        <v>20.309734513159999</v>
      </c>
      <c r="I535" s="34">
        <f>(C535*1.16814159292)+(-2)</f>
        <v>17.858407079640003</v>
      </c>
      <c r="J535" s="34">
        <f>(C535*1.1238938053)+(-3.9)</f>
        <v>15.2061946901</v>
      </c>
      <c r="K535" s="34">
        <f>(C535*1.07964601769)+(-5.6)</f>
        <v>12.75398230073</v>
      </c>
    </row>
    <row r="536" spans="1:11" s="21" customFormat="1" ht="19.95" customHeight="1" x14ac:dyDescent="0.25">
      <c r="A536" s="13" t="str">
        <f>"57580"</f>
        <v>57580</v>
      </c>
      <c r="B536" s="14" t="s">
        <v>885</v>
      </c>
      <c r="C536" s="13" t="str">
        <f>"15.7"</f>
        <v>15.7</v>
      </c>
      <c r="D536" s="32">
        <f>(C536*1.24778761061)+(0.4)</f>
        <v>19.990265486576998</v>
      </c>
      <c r="E536" s="33">
        <f>(C536*1.16814159292)+(-1)</f>
        <v>17.339823008844</v>
      </c>
      <c r="F536" s="33">
        <f>(C536*1.1238938053)+(-4.4)</f>
        <v>13.245132743209998</v>
      </c>
      <c r="G536" s="33">
        <f>(C536*1.06194690265)+(-5.9)</f>
        <v>10.772566371604997</v>
      </c>
      <c r="H536" s="34">
        <f>(C536*1.19469026548)+(0)</f>
        <v>18.756637168036001</v>
      </c>
      <c r="I536" s="34">
        <f>(C536*1.16814159292)+(-2)</f>
        <v>16.339823008844</v>
      </c>
      <c r="J536" s="34">
        <f>(C536*1.1238938053)+(-3.9)</f>
        <v>13.745132743209998</v>
      </c>
      <c r="K536" s="34">
        <f>(C536*1.07964601769)+(-5.6)</f>
        <v>11.350442477732999</v>
      </c>
    </row>
    <row r="537" spans="1:11" s="21" customFormat="1" ht="19.95" customHeight="1" x14ac:dyDescent="0.25">
      <c r="A537" s="13" t="str">
        <f>"16057"</f>
        <v>16057</v>
      </c>
      <c r="B537" s="14" t="s">
        <v>886</v>
      </c>
      <c r="C537" s="13" t="str">
        <f>"20.6"</f>
        <v>20.6</v>
      </c>
      <c r="D537" s="32">
        <f>(C537*1.24778761061)+(0.4)</f>
        <v>26.104424778566003</v>
      </c>
      <c r="E537" s="33">
        <f>(C537*1.16814159292)+(-1)</f>
        <v>23.063716814152002</v>
      </c>
      <c r="F537" s="33">
        <f>(C537*1.1238938053)+(-4.4)</f>
        <v>18.752212389180002</v>
      </c>
      <c r="G537" s="33">
        <f>(C537*1.06194690265)+(-5.9)</f>
        <v>15.976106194590001</v>
      </c>
      <c r="H537" s="34">
        <f>(C537*1.19469026548)+(0)</f>
        <v>24.610619468888</v>
      </c>
      <c r="I537" s="34">
        <f>(C537*1.16814159292)+(-2)</f>
        <v>22.063716814152002</v>
      </c>
      <c r="J537" s="34">
        <f>(C537*1.1238938053)+(-3.9)</f>
        <v>19.252212389180006</v>
      </c>
      <c r="K537" s="34">
        <f>(C537*1.07964601769)+(-5.6)</f>
        <v>16.640707964414005</v>
      </c>
    </row>
    <row r="538" spans="1:11" s="21" customFormat="1" ht="19.95" customHeight="1" x14ac:dyDescent="0.25">
      <c r="A538" s="13" t="str">
        <f>"65590"</f>
        <v>65590</v>
      </c>
      <c r="B538" s="14" t="s">
        <v>887</v>
      </c>
      <c r="C538" s="13" t="str">
        <f>"18.3"</f>
        <v>18.3</v>
      </c>
      <c r="D538" s="32">
        <f>(C538*1.24778761061)+(0.4)</f>
        <v>23.234513274163</v>
      </c>
      <c r="E538" s="33">
        <f>(C538*1.16814159292)+(-1)</f>
        <v>20.376991150436002</v>
      </c>
      <c r="F538" s="33">
        <f>(C538*1.1238938053)+(-4.4)</f>
        <v>16.167256636990004</v>
      </c>
      <c r="G538" s="33">
        <f>(C538*1.06194690265)+(-5.9)</f>
        <v>13.533628318494999</v>
      </c>
      <c r="H538" s="34">
        <f>(C538*1.19469026548)+(0)</f>
        <v>21.862831858284</v>
      </c>
      <c r="I538" s="34">
        <f>(C538*1.16814159292)+(-2)</f>
        <v>19.376991150436002</v>
      </c>
      <c r="J538" s="34">
        <f>(C538*1.1238938053)+(-3.9)</f>
        <v>16.667256636990004</v>
      </c>
      <c r="K538" s="34">
        <f>(C538*1.07964601769)+(-5.6)</f>
        <v>14.157522123727</v>
      </c>
    </row>
    <row r="539" spans="1:11" s="21" customFormat="1" ht="19.95" customHeight="1" x14ac:dyDescent="0.25">
      <c r="A539" s="13" t="str">
        <f>"16058"</f>
        <v>16058</v>
      </c>
      <c r="B539" s="14" t="s">
        <v>888</v>
      </c>
      <c r="C539" s="13" t="str">
        <f>"19.3"</f>
        <v>19.3</v>
      </c>
      <c r="D539" s="32">
        <f>(C539*1.24778761061)+(0.4)</f>
        <v>24.482300884773</v>
      </c>
      <c r="E539" s="33">
        <f>(C539*1.16814159292)+(-1)</f>
        <v>21.545132743356003</v>
      </c>
      <c r="F539" s="33">
        <f>(C539*1.1238938053)+(-4.4)</f>
        <v>17.291150442290004</v>
      </c>
      <c r="G539" s="33">
        <f>(C539*1.06194690265)+(-5.9)</f>
        <v>14.595575221144999</v>
      </c>
      <c r="H539" s="34">
        <f>(C539*1.19469026548)+(0)</f>
        <v>23.057522123764002</v>
      </c>
      <c r="I539" s="34">
        <f>(C539*1.16814159292)+(-2)</f>
        <v>20.545132743356003</v>
      </c>
      <c r="J539" s="34">
        <f>(C539*1.1238938053)+(-3.9)</f>
        <v>17.791150442290004</v>
      </c>
      <c r="K539" s="34">
        <f>(C539*1.07964601769)+(-5.6)</f>
        <v>15.237168141417003</v>
      </c>
    </row>
    <row r="540" spans="1:11" s="21" customFormat="1" ht="19.95" customHeight="1" x14ac:dyDescent="0.25">
      <c r="A540" s="13" t="str">
        <f>"76822"</f>
        <v>76822</v>
      </c>
      <c r="B540" s="14" t="s">
        <v>889</v>
      </c>
      <c r="C540" s="13" t="str">
        <f>"29.3"</f>
        <v>29.3</v>
      </c>
      <c r="D540" s="32">
        <f>(C540*1.24778761061)+(0.4)</f>
        <v>36.960176990873002</v>
      </c>
      <c r="E540" s="33">
        <f>(C540*1.16814159292)+(-1)</f>
        <v>33.226548672556007</v>
      </c>
      <c r="F540" s="33">
        <f>(C540*1.1238938053)+(-4.4)</f>
        <v>28.530088495290002</v>
      </c>
      <c r="G540" s="33">
        <f>(C540*1.06194690265)+(-5.9)</f>
        <v>25.215044247644997</v>
      </c>
      <c r="H540" s="34">
        <f>(C540*1.19469026548)+(0)</f>
        <v>35.004424778564001</v>
      </c>
      <c r="I540" s="34">
        <f>(C540*1.16814159292)+(-2)</f>
        <v>32.226548672556007</v>
      </c>
      <c r="J540" s="34">
        <f>(C540*1.1238938053)+(-3.9)</f>
        <v>29.030088495290002</v>
      </c>
      <c r="K540" s="34">
        <f>(C540*1.07964601769)+(-5.6)</f>
        <v>26.033628318317</v>
      </c>
    </row>
    <row r="541" spans="1:11" s="21" customFormat="1" ht="19.95" customHeight="1" x14ac:dyDescent="0.25">
      <c r="A541" s="13" t="str">
        <f>"24815"</f>
        <v>24815</v>
      </c>
      <c r="B541" s="14" t="s">
        <v>890</v>
      </c>
      <c r="C541" s="13" t="str">
        <f>"19.6"</f>
        <v>19.6</v>
      </c>
      <c r="D541" s="32">
        <f>(C541*1.24778761061)+(0.4)</f>
        <v>24.856637167956002</v>
      </c>
      <c r="E541" s="33">
        <f>(C541*1.16814159292)+(-1)</f>
        <v>21.895575221232004</v>
      </c>
      <c r="F541" s="33">
        <f>(C541*1.1238938053)+(-4.4)</f>
        <v>17.628318583880002</v>
      </c>
      <c r="G541" s="33">
        <f>(C541*1.06194690265)+(-5.9)</f>
        <v>14.914159291940001</v>
      </c>
      <c r="H541" s="34">
        <f>(C541*1.19469026548)+(0)</f>
        <v>23.415929203408002</v>
      </c>
      <c r="I541" s="34">
        <f>(C541*1.16814159292)+(-2)</f>
        <v>20.895575221232004</v>
      </c>
      <c r="J541" s="34">
        <f>(C541*1.1238938053)+(-3.9)</f>
        <v>18.128318583880002</v>
      </c>
      <c r="K541" s="34">
        <f>(C541*1.07964601769)+(-5.6)</f>
        <v>15.561061946724001</v>
      </c>
    </row>
    <row r="542" spans="1:11" s="21" customFormat="1" ht="19.95" customHeight="1" x14ac:dyDescent="0.25">
      <c r="A542" s="13" t="str">
        <f>"67348"</f>
        <v>67348</v>
      </c>
      <c r="B542" s="14" t="s">
        <v>891</v>
      </c>
      <c r="C542" s="13" t="str">
        <f>"27.6"</f>
        <v>27.6</v>
      </c>
      <c r="D542" s="32">
        <f>(C542*1.24778761061)+(0.4)</f>
        <v>34.838938052836006</v>
      </c>
      <c r="E542" s="33">
        <f>(C542*1.16814159292)+(-1)</f>
        <v>31.240707964592005</v>
      </c>
      <c r="F542" s="33">
        <f>(C542*1.1238938053)+(-4.4)</f>
        <v>26.619469026280001</v>
      </c>
      <c r="G542" s="33">
        <f>(C542*1.06194690265)+(-5.9)</f>
        <v>23.409734513140002</v>
      </c>
      <c r="H542" s="34">
        <f>(C542*1.19469026548)+(0)</f>
        <v>32.973451327248</v>
      </c>
      <c r="I542" s="34">
        <f>(C542*1.16814159292)+(-2)</f>
        <v>30.240707964592005</v>
      </c>
      <c r="J542" s="34">
        <f>(C542*1.1238938053)+(-3.9)</f>
        <v>27.119469026280004</v>
      </c>
      <c r="K542" s="34">
        <f>(C542*1.07964601769)+(-5.6)</f>
        <v>24.198230088244003</v>
      </c>
    </row>
    <row r="543" spans="1:11" s="21" customFormat="1" ht="19.95" customHeight="1" x14ac:dyDescent="0.25">
      <c r="A543" s="13" t="str">
        <f>"20362"</f>
        <v>20362</v>
      </c>
      <c r="B543" s="14" t="s">
        <v>892</v>
      </c>
      <c r="C543" s="13" t="str">
        <f>"19.9"</f>
        <v>19.9</v>
      </c>
      <c r="D543" s="32">
        <f>(C543*1.24778761061)+(0.4)</f>
        <v>25.230973451139</v>
      </c>
      <c r="E543" s="33">
        <f>(C543*1.16814159292)+(-1)</f>
        <v>22.246017699107998</v>
      </c>
      <c r="F543" s="33">
        <f>(C543*1.1238938053)+(-4.4)</f>
        <v>17.965486725470001</v>
      </c>
      <c r="G543" s="33">
        <f>(C543*1.06194690265)+(-5.9)</f>
        <v>15.232743362734995</v>
      </c>
      <c r="H543" s="34">
        <f>(C543*1.19469026548)+(0)</f>
        <v>23.774336283051998</v>
      </c>
      <c r="I543" s="34">
        <f>(C543*1.16814159292)+(-2)</f>
        <v>21.246017699107998</v>
      </c>
      <c r="J543" s="34">
        <f>(C543*1.1238938053)+(-3.9)</f>
        <v>18.465486725470001</v>
      </c>
      <c r="K543" s="34">
        <f>(C543*1.07964601769)+(-5.6)</f>
        <v>15.884955752030999</v>
      </c>
    </row>
    <row r="544" spans="1:11" s="21" customFormat="1" ht="19.95" customHeight="1" x14ac:dyDescent="0.25">
      <c r="A544" s="13" t="str">
        <f>"75233"</f>
        <v>75233</v>
      </c>
      <c r="B544" s="14" t="s">
        <v>893</v>
      </c>
      <c r="C544" s="13" t="str">
        <f>"29.1"</f>
        <v>29.1</v>
      </c>
      <c r="D544" s="32">
        <f>(C544*1.24778761061)+(0.4)</f>
        <v>36.710619468751005</v>
      </c>
      <c r="E544" s="33">
        <f>(C544*1.16814159292)+(-1)</f>
        <v>32.992920353972004</v>
      </c>
      <c r="F544" s="33">
        <f>(C544*1.1238938053)+(-4.4)</f>
        <v>28.305309734230008</v>
      </c>
      <c r="G544" s="33">
        <f>(C544*1.06194690265)+(-5.9)</f>
        <v>25.002654867114998</v>
      </c>
      <c r="H544" s="34">
        <f>(C544*1.19469026548)+(0)</f>
        <v>34.765486725468001</v>
      </c>
      <c r="I544" s="34">
        <f>(C544*1.16814159292)+(-2)</f>
        <v>31.992920353972004</v>
      </c>
      <c r="J544" s="34">
        <f>(C544*1.1238938053)+(-3.9)</f>
        <v>28.805309734230008</v>
      </c>
      <c r="K544" s="34">
        <f>(C544*1.07964601769)+(-5.6)</f>
        <v>25.817699114779003</v>
      </c>
    </row>
    <row r="545" spans="1:11" s="21" customFormat="1" ht="19.95" customHeight="1" x14ac:dyDescent="0.25">
      <c r="A545" s="13" t="str">
        <f>"14064"</f>
        <v>14064</v>
      </c>
      <c r="B545" s="14" t="s">
        <v>894</v>
      </c>
      <c r="C545" s="13" t="str">
        <f>"10.5"</f>
        <v>10.5</v>
      </c>
      <c r="D545" s="32">
        <f>(C545*1.24778761061)+(0.4)</f>
        <v>13.501769911405001</v>
      </c>
      <c r="E545" s="33">
        <f>(C545*1.16814159292)+(-1)</f>
        <v>11.265486725660001</v>
      </c>
      <c r="F545" s="33">
        <f>(C545*1.1238938053)+(-4.4)</f>
        <v>7.4008849556499996</v>
      </c>
      <c r="G545" s="33">
        <f>(C545*1.06194690265)+(-5.9)</f>
        <v>5.2504424778249987</v>
      </c>
      <c r="H545" s="34">
        <f>(C545*1.19469026548)+(0)</f>
        <v>12.54424778754</v>
      </c>
      <c r="I545" s="34">
        <f>(C545*1.16814159292)+(-2)</f>
        <v>10.265486725660001</v>
      </c>
      <c r="J545" s="34">
        <f>(C545*1.1238938053)+(-3.9)</f>
        <v>7.9008849556499996</v>
      </c>
      <c r="K545" s="34">
        <f>(C545*1.07964601769)+(-5.6)</f>
        <v>5.7362831857450001</v>
      </c>
    </row>
    <row r="546" spans="1:11" s="21" customFormat="1" ht="19.95" customHeight="1" x14ac:dyDescent="0.25">
      <c r="A546" s="13" t="str">
        <f>"16063"</f>
        <v>16063</v>
      </c>
      <c r="B546" s="14" t="s">
        <v>895</v>
      </c>
      <c r="C546" s="13" t="str">
        <f>"25.7"</f>
        <v>25.7</v>
      </c>
      <c r="D546" s="32">
        <f>(C546*1.24778761061)+(0.4)</f>
        <v>32.468141592677</v>
      </c>
      <c r="E546" s="33">
        <f>(C546*1.16814159292)+(-1)</f>
        <v>29.021238938044</v>
      </c>
      <c r="F546" s="33">
        <f>(C546*1.1238938053)+(-4.4)</f>
        <v>24.484070796209998</v>
      </c>
      <c r="G546" s="33">
        <f>(C546*1.06194690265)+(-5.9)</f>
        <v>21.392035398104994</v>
      </c>
      <c r="H546" s="34">
        <f>(C546*1.19469026548)+(0)</f>
        <v>30.703539822835999</v>
      </c>
      <c r="I546" s="34">
        <f>(C546*1.16814159292)+(-2)</f>
        <v>28.021238938044</v>
      </c>
      <c r="J546" s="34">
        <f>(C546*1.1238938053)+(-3.9)</f>
        <v>24.984070796210002</v>
      </c>
      <c r="K546" s="34">
        <f>(C546*1.07964601769)+(-5.6)</f>
        <v>22.146902654633003</v>
      </c>
    </row>
    <row r="547" spans="1:11" s="21" customFormat="1" ht="19.95" customHeight="1" x14ac:dyDescent="0.25">
      <c r="A547" s="13" t="str">
        <f>"69349"</f>
        <v>69349</v>
      </c>
      <c r="B547" s="14" t="s">
        <v>896</v>
      </c>
      <c r="C547" s="13" t="str">
        <f>"16.0"</f>
        <v>16.0</v>
      </c>
      <c r="D547" s="32">
        <f>(C547*1.24778761061)+(0.4)</f>
        <v>20.36460176976</v>
      </c>
      <c r="E547" s="33">
        <f>(C547*1.16814159292)+(-1)</f>
        <v>17.690265486720001</v>
      </c>
      <c r="F547" s="33">
        <f>(C547*1.1238938053)+(-4.4)</f>
        <v>13.5823008848</v>
      </c>
      <c r="G547" s="33">
        <f>(C547*1.06194690265)+(-5.9)</f>
        <v>11.091150442399998</v>
      </c>
      <c r="H547" s="34">
        <f>(C547*1.19469026548)+(0)</f>
        <v>19.11504424768</v>
      </c>
      <c r="I547" s="34">
        <f>(C547*1.16814159292)+(-2)</f>
        <v>16.690265486720001</v>
      </c>
      <c r="J547" s="34">
        <f>(C547*1.1238938053)+(-3.9)</f>
        <v>14.0823008848</v>
      </c>
      <c r="K547" s="34">
        <f>(C547*1.07964601769)+(-5.6)</f>
        <v>11.674336283040001</v>
      </c>
    </row>
    <row r="548" spans="1:11" s="21" customFormat="1" ht="19.95" customHeight="1" x14ac:dyDescent="0.25">
      <c r="A548" s="13" t="str">
        <f>"81052"</f>
        <v>81052</v>
      </c>
      <c r="B548" s="14" t="s">
        <v>897</v>
      </c>
      <c r="C548" s="13" t="str">
        <f>"28.4"</f>
        <v>28.4</v>
      </c>
      <c r="D548" s="32">
        <f>(C548*1.24778761061)+(0.4)</f>
        <v>35.837168141324</v>
      </c>
      <c r="E548" s="33">
        <f>(C548*1.16814159292)+(-1)</f>
        <v>32.175221238928003</v>
      </c>
      <c r="F548" s="33">
        <f>(C548*1.1238938053)+(-4.4)</f>
        <v>27.518584070519999</v>
      </c>
      <c r="G548" s="33">
        <f>(C548*1.06194690265)+(-5.9)</f>
        <v>24.259292035259996</v>
      </c>
      <c r="H548" s="34">
        <f>(C548*1.19469026548)+(0)</f>
        <v>33.929203539631999</v>
      </c>
      <c r="I548" s="34">
        <f>(C548*1.16814159292)+(-2)</f>
        <v>31.175221238928003</v>
      </c>
      <c r="J548" s="34">
        <f>(C548*1.1238938053)+(-3.9)</f>
        <v>28.018584070520003</v>
      </c>
      <c r="K548" s="34">
        <f>(C548*1.07964601769)+(-5.6)</f>
        <v>25.061946902396002</v>
      </c>
    </row>
    <row r="549" spans="1:11" s="21" customFormat="1" ht="19.95" customHeight="1" x14ac:dyDescent="0.25">
      <c r="A549" s="13" t="str">
        <f>"16066"</f>
        <v>16066</v>
      </c>
      <c r="B549" s="14" t="s">
        <v>898</v>
      </c>
      <c r="C549" s="13" t="str">
        <f>"18.4"</f>
        <v>18.4</v>
      </c>
      <c r="D549" s="32">
        <f>(C549*1.24778761061)+(0.4)</f>
        <v>23.359292035223998</v>
      </c>
      <c r="E549" s="33">
        <f>(C549*1.16814159292)+(-1)</f>
        <v>20.493805309728</v>
      </c>
      <c r="F549" s="33">
        <f>(C549*1.1238938053)+(-4.4)</f>
        <v>16.279646017520001</v>
      </c>
      <c r="G549" s="33">
        <f>(C549*1.06194690265)+(-5.9)</f>
        <v>13.639823008759995</v>
      </c>
      <c r="H549" s="34">
        <f>(C549*1.19469026548)+(0)</f>
        <v>21.982300884832</v>
      </c>
      <c r="I549" s="34">
        <f>(C549*1.16814159292)+(-2)</f>
        <v>19.493805309728</v>
      </c>
      <c r="J549" s="34">
        <f>(C549*1.1238938053)+(-3.9)</f>
        <v>16.779646017520001</v>
      </c>
      <c r="K549" s="34">
        <f>(C549*1.07964601769)+(-5.6)</f>
        <v>14.265486725495998</v>
      </c>
    </row>
    <row r="550" spans="1:11" s="21" customFormat="1" ht="19.95" customHeight="1" x14ac:dyDescent="0.25">
      <c r="A550" s="13" t="str">
        <f>"16067"</f>
        <v>16067</v>
      </c>
      <c r="B550" s="14" t="s">
        <v>899</v>
      </c>
      <c r="C550" s="13" t="str">
        <f>"2.0"</f>
        <v>2.0</v>
      </c>
      <c r="D550" s="32">
        <f>(C550*1.24778761061)+(0.4)</f>
        <v>2.8955752212200001</v>
      </c>
      <c r="E550" s="33">
        <f>(C550*1.16814159292)+(-1)</f>
        <v>1.3362831858400002</v>
      </c>
      <c r="F550" s="33">
        <f>(C550*1.1238938053)+(-4.4)</f>
        <v>-2.1522123894000003</v>
      </c>
      <c r="G550" s="33">
        <f>(C550*1.06194690265)+(-5.9)</f>
        <v>-3.7761061947000005</v>
      </c>
      <c r="H550" s="34">
        <f>(C550*1.19469026548)+(0)</f>
        <v>2.38938053096</v>
      </c>
      <c r="I550" s="34">
        <f>(C550*1.16814159292)+(-2)</f>
        <v>0.33628318584000017</v>
      </c>
      <c r="J550" s="34">
        <f>(C550*1.1238938053)+(-3.9)</f>
        <v>-1.6522123893999998</v>
      </c>
      <c r="K550" s="34">
        <f>(C550*1.07964601769)+(-5.6)</f>
        <v>-3.4407079646199996</v>
      </c>
    </row>
    <row r="551" spans="1:11" s="21" customFormat="1" ht="19.95" customHeight="1" x14ac:dyDescent="0.25">
      <c r="A551" s="13" t="str">
        <f>"76359"</f>
        <v>76359</v>
      </c>
      <c r="B551" s="14" t="s">
        <v>900</v>
      </c>
      <c r="C551" s="13" t="str">
        <f>"5.1"</f>
        <v>5.1</v>
      </c>
      <c r="D551" s="32">
        <f>(C551*1.24778761061)+(0.4)</f>
        <v>6.7637168141110005</v>
      </c>
      <c r="E551" s="33">
        <f>(C551*1.16814159292)+(-1)</f>
        <v>4.9575221238919998</v>
      </c>
      <c r="F551" s="33">
        <f>(C551*1.1238938053)+(-4.4)</f>
        <v>1.3318584070299995</v>
      </c>
      <c r="G551" s="33">
        <f>(C551*1.06194690265)+(-5.9)</f>
        <v>-0.48407079648500151</v>
      </c>
      <c r="H551" s="34">
        <f>(C551*1.19469026548)+(0)</f>
        <v>6.0929203539479992</v>
      </c>
      <c r="I551" s="34">
        <f>(C551*1.16814159292)+(-2)</f>
        <v>3.9575221238919998</v>
      </c>
      <c r="J551" s="34">
        <f>(C551*1.1238938053)+(-3.9)</f>
        <v>1.8318584070299999</v>
      </c>
      <c r="K551" s="34">
        <f>(C551*1.07964601769)+(-5.6)</f>
        <v>-9.3805309780999657E-2</v>
      </c>
    </row>
    <row r="552" spans="1:11" s="21" customFormat="1" ht="19.95" customHeight="1" x14ac:dyDescent="0.25">
      <c r="A552" s="13" t="str">
        <f>"1003323"</f>
        <v>1003323</v>
      </c>
      <c r="B552" s="14" t="s">
        <v>901</v>
      </c>
      <c r="C552" s="13" t="str">
        <f>"23.9"</f>
        <v>23.9</v>
      </c>
      <c r="D552" s="32">
        <f>(C552*1.24778761061)+(0.4)</f>
        <v>30.222123893578999</v>
      </c>
      <c r="E552" s="33">
        <f>(C552*1.16814159292)+(-1)</f>
        <v>26.918584070788</v>
      </c>
      <c r="F552" s="33">
        <f>(C552*1.1238938053)+(-4.4)</f>
        <v>22.46106194667</v>
      </c>
      <c r="G552" s="33">
        <f>(C552*1.06194690265)+(-5.9)</f>
        <v>19.480530973334993</v>
      </c>
      <c r="H552" s="34">
        <f>(C552*1.19469026548)+(0)</f>
        <v>28.553097344971999</v>
      </c>
      <c r="I552" s="34">
        <f>(C552*1.16814159292)+(-2)</f>
        <v>25.918584070788</v>
      </c>
      <c r="J552" s="34">
        <f>(C552*1.1238938053)+(-3.9)</f>
        <v>22.96106194667</v>
      </c>
      <c r="K552" s="34">
        <f>(C552*1.07964601769)+(-5.6)</f>
        <v>20.203539822791001</v>
      </c>
    </row>
    <row r="553" spans="1:11" s="21" customFormat="1" ht="19.95" customHeight="1" x14ac:dyDescent="0.25">
      <c r="A553" s="13" t="str">
        <f>"76386"</f>
        <v>76386</v>
      </c>
      <c r="B553" s="14" t="s">
        <v>902</v>
      </c>
      <c r="C553" s="13" t="str">
        <f>"12.8"</f>
        <v>12.8</v>
      </c>
      <c r="D553" s="32">
        <f>(C553*1.24778761061)+(0.4)</f>
        <v>16.371681415808002</v>
      </c>
      <c r="E553" s="33">
        <f>(C553*1.16814159292)+(-1)</f>
        <v>13.952212389376001</v>
      </c>
      <c r="F553" s="33">
        <f>(C553*1.1238938053)+(-4.4)</f>
        <v>9.9858407078400013</v>
      </c>
      <c r="G553" s="33">
        <f>(C553*1.06194690265)+(-5.9)</f>
        <v>7.69292035392</v>
      </c>
      <c r="H553" s="34">
        <f>(C553*1.19469026548)+(0)</f>
        <v>15.292035398144002</v>
      </c>
      <c r="I553" s="34">
        <f>(C553*1.16814159292)+(-2)</f>
        <v>12.952212389376001</v>
      </c>
      <c r="J553" s="34">
        <f>(C553*1.1238938053)+(-3.9)</f>
        <v>10.485840707840001</v>
      </c>
      <c r="K553" s="34">
        <f>(C553*1.07964601769)+(-5.6)</f>
        <v>8.2194690264320016</v>
      </c>
    </row>
    <row r="554" spans="1:11" s="21" customFormat="1" ht="19.95" customHeight="1" x14ac:dyDescent="0.25">
      <c r="A554" s="13" t="str">
        <f>"16070"</f>
        <v>16070</v>
      </c>
      <c r="B554" s="14" t="s">
        <v>903</v>
      </c>
      <c r="C554" s="13" t="str">
        <f>"17.5"</f>
        <v>17.5</v>
      </c>
      <c r="D554" s="32">
        <f>(C554*1.24778761061)+(0.4)</f>
        <v>22.236283185674999</v>
      </c>
      <c r="E554" s="33">
        <f>(C554*1.16814159292)+(-1)</f>
        <v>19.4424778761</v>
      </c>
      <c r="F554" s="33">
        <f>(C554*1.1238938053)+(-4.4)</f>
        <v>15.26814159275</v>
      </c>
      <c r="G554" s="33">
        <f>(C554*1.06194690265)+(-5.9)</f>
        <v>12.684070796374998</v>
      </c>
      <c r="H554" s="34">
        <f>(C554*1.19469026548)+(0)</f>
        <v>20.907079645900001</v>
      </c>
      <c r="I554" s="34">
        <f>(C554*1.16814159292)+(-2)</f>
        <v>18.4424778761</v>
      </c>
      <c r="J554" s="34">
        <f>(C554*1.1238938053)+(-3.9)</f>
        <v>15.76814159275</v>
      </c>
      <c r="K554" s="34">
        <f>(C554*1.07964601769)+(-5.6)</f>
        <v>13.293805309575001</v>
      </c>
    </row>
    <row r="555" spans="1:11" s="21" customFormat="1" ht="19.95" customHeight="1" x14ac:dyDescent="0.25">
      <c r="A555" s="13" t="str">
        <f>"43954"</f>
        <v>43954</v>
      </c>
      <c r="B555" s="14" t="s">
        <v>904</v>
      </c>
      <c r="C555" s="13" t="str">
        <f>"29.2"</f>
        <v>29.2</v>
      </c>
      <c r="D555" s="32">
        <f>(C555*1.24778761061)+(0.4)</f>
        <v>36.835398229812</v>
      </c>
      <c r="E555" s="33">
        <f>(C555*1.16814159292)+(-1)</f>
        <v>33.109734513264002</v>
      </c>
      <c r="F555" s="33">
        <f>(C555*1.1238938053)+(-4.4)</f>
        <v>28.417699114760005</v>
      </c>
      <c r="G555" s="33">
        <f>(C555*1.06194690265)+(-5.9)</f>
        <v>25.108849557379997</v>
      </c>
      <c r="H555" s="34">
        <f>(C555*1.19469026548)+(0)</f>
        <v>34.884955752015998</v>
      </c>
      <c r="I555" s="34">
        <f>(C555*1.16814159292)+(-2)</f>
        <v>32.109734513264002</v>
      </c>
      <c r="J555" s="34">
        <f>(C555*1.1238938053)+(-3.9)</f>
        <v>28.917699114760005</v>
      </c>
      <c r="K555" s="34">
        <f>(C555*1.07964601769)+(-5.6)</f>
        <v>25.925663716548002</v>
      </c>
    </row>
    <row r="556" spans="1:11" s="21" customFormat="1" ht="19.95" customHeight="1" x14ac:dyDescent="0.25">
      <c r="A556" s="13" t="str">
        <f>"16071"</f>
        <v>16071</v>
      </c>
      <c r="B556" s="14" t="s">
        <v>905</v>
      </c>
      <c r="C556" s="13" t="str">
        <f>"20.4"</f>
        <v>20.4</v>
      </c>
      <c r="D556" s="32">
        <f>(C556*1.24778761061)+(0.4)</f>
        <v>25.854867256443999</v>
      </c>
      <c r="E556" s="33">
        <f>(C556*1.16814159292)+(-1)</f>
        <v>22.830088495567999</v>
      </c>
      <c r="F556" s="33">
        <f>(C556*1.1238938053)+(-4.4)</f>
        <v>18.527433628120001</v>
      </c>
      <c r="G556" s="33">
        <f>(C556*1.06194690265)+(-5.9)</f>
        <v>15.763716814059995</v>
      </c>
      <c r="H556" s="34">
        <f>(C556*1.19469026548)+(0)</f>
        <v>24.371681415791997</v>
      </c>
      <c r="I556" s="34">
        <f>(C556*1.16814159292)+(-2)</f>
        <v>21.830088495567999</v>
      </c>
      <c r="J556" s="34">
        <f>(C556*1.1238938053)+(-3.9)</f>
        <v>19.027433628120001</v>
      </c>
      <c r="K556" s="34">
        <f>(C556*1.07964601769)+(-5.6)</f>
        <v>16.424778760876002</v>
      </c>
    </row>
    <row r="557" spans="1:11" s="21" customFormat="1" ht="19.95" customHeight="1" x14ac:dyDescent="0.25">
      <c r="A557" s="13" t="str">
        <f>"1012412"</f>
        <v>1012412</v>
      </c>
      <c r="B557" s="14" t="s">
        <v>1921</v>
      </c>
      <c r="C557" s="13" t="str">
        <f>"24.5"</f>
        <v>24.5</v>
      </c>
      <c r="D557" s="32">
        <f>(C557*1.24778761061)+(0.4)</f>
        <v>30.970796459944999</v>
      </c>
      <c r="E557" s="33">
        <f>(C557*1.16814159292)+(-1)</f>
        <v>27.619469026540003</v>
      </c>
      <c r="F557" s="33">
        <f>(C557*1.1238938053)+(-4.4)</f>
        <v>23.135398229850004</v>
      </c>
      <c r="G557" s="33">
        <f>(C557*1.06194690265)+(-5.9)</f>
        <v>20.117699114924996</v>
      </c>
      <c r="H557" s="34">
        <f>(C557*1.19469026548)+(0)</f>
        <v>29.269911504260001</v>
      </c>
      <c r="I557" s="34">
        <f>(C557*1.16814159292)+(-2)</f>
        <v>26.619469026540003</v>
      </c>
      <c r="J557" s="34">
        <f>(C557*1.1238938053)+(-3.9)</f>
        <v>23.635398229850004</v>
      </c>
      <c r="K557" s="34">
        <f>(C557*1.07964601769)+(-5.6)</f>
        <v>20.851327433405004</v>
      </c>
    </row>
    <row r="558" spans="1:11" s="21" customFormat="1" ht="19.95" customHeight="1" x14ac:dyDescent="0.25">
      <c r="A558" s="13" t="str">
        <f>"16073"</f>
        <v>16073</v>
      </c>
      <c r="B558" s="14" t="s">
        <v>906</v>
      </c>
      <c r="C558" s="13" t="str">
        <f>"12.4"</f>
        <v>12.4</v>
      </c>
      <c r="D558" s="32">
        <f>(C558*1.24778761061)+(0.4)</f>
        <v>15.872566371564002</v>
      </c>
      <c r="E558" s="33">
        <f>(C558*1.16814159292)+(-1)</f>
        <v>13.484955752208002</v>
      </c>
      <c r="F558" s="33">
        <f>(C558*1.1238938053)+(-4.4)</f>
        <v>9.5362831857200003</v>
      </c>
      <c r="G558" s="33">
        <f>(C558*1.06194690265)+(-5.9)</f>
        <v>7.2681415928599993</v>
      </c>
      <c r="H558" s="34">
        <f>(C558*1.19469026548)+(0)</f>
        <v>14.814159291952</v>
      </c>
      <c r="I558" s="34">
        <f>(C558*1.16814159292)+(-2)</f>
        <v>12.484955752208002</v>
      </c>
      <c r="J558" s="34">
        <f>(C558*1.1238938053)+(-3.9)</f>
        <v>10.03628318572</v>
      </c>
      <c r="K558" s="34">
        <f>(C558*1.07964601769)+(-5.6)</f>
        <v>7.7876106193560002</v>
      </c>
    </row>
    <row r="559" spans="1:11" s="21" customFormat="1" ht="19.95" customHeight="1" x14ac:dyDescent="0.25">
      <c r="A559" s="13" t="str">
        <f>"44040"</f>
        <v>44040</v>
      </c>
      <c r="B559" s="14" t="s">
        <v>907</v>
      </c>
      <c r="C559" s="13" t="str">
        <f>"23.4"</f>
        <v>23.4</v>
      </c>
      <c r="D559" s="32">
        <f>(C559*1.24778761061)+(0.4)</f>
        <v>29.598230088274001</v>
      </c>
      <c r="E559" s="33">
        <f>(C559*1.16814159292)+(-1)</f>
        <v>26.334513274328</v>
      </c>
      <c r="F559" s="33">
        <f>(C559*1.1238938053)+(-4.4)</f>
        <v>21.89911504402</v>
      </c>
      <c r="G559" s="33">
        <f>(C559*1.06194690265)+(-5.9)</f>
        <v>18.949557522009997</v>
      </c>
      <c r="H559" s="34">
        <f>(C559*1.19469026548)+(0)</f>
        <v>27.955752212231999</v>
      </c>
      <c r="I559" s="34">
        <f>(C559*1.16814159292)+(-2)</f>
        <v>25.334513274328</v>
      </c>
      <c r="J559" s="34">
        <f>(C559*1.1238938053)+(-3.9)</f>
        <v>22.39911504402</v>
      </c>
      <c r="K559" s="34">
        <f>(C559*1.07964601769)+(-5.6)</f>
        <v>19.663716813945996</v>
      </c>
    </row>
    <row r="560" spans="1:11" s="21" customFormat="1" ht="19.95" customHeight="1" x14ac:dyDescent="0.25">
      <c r="A560" s="13" t="str">
        <f>"16074"</f>
        <v>16074</v>
      </c>
      <c r="B560" s="14" t="s">
        <v>908</v>
      </c>
      <c r="C560" s="13" t="str">
        <f>"15.2"</f>
        <v>15.2</v>
      </c>
      <c r="D560" s="32">
        <f>(C560*1.24778761061)+(0.4)</f>
        <v>19.366371681272</v>
      </c>
      <c r="E560" s="33">
        <f>(C560*1.16814159292)+(-1)</f>
        <v>16.755752212383999</v>
      </c>
      <c r="F560" s="33">
        <f>(C560*1.1238938053)+(-4.4)</f>
        <v>12.683185840559998</v>
      </c>
      <c r="G560" s="33">
        <f>(C560*1.06194690265)+(-5.9)</f>
        <v>10.241592920279997</v>
      </c>
      <c r="H560" s="34">
        <f>(C560*1.19469026548)+(0)</f>
        <v>18.159292035295998</v>
      </c>
      <c r="I560" s="34">
        <f>(C560*1.16814159292)+(-2)</f>
        <v>15.755752212383999</v>
      </c>
      <c r="J560" s="34">
        <f>(C560*1.1238938053)+(-3.9)</f>
        <v>13.183185840559998</v>
      </c>
      <c r="K560" s="34">
        <f>(C560*1.07964601769)+(-5.6)</f>
        <v>10.810619468888001</v>
      </c>
    </row>
    <row r="561" spans="1:11" s="21" customFormat="1" ht="19.95" customHeight="1" x14ac:dyDescent="0.25">
      <c r="A561" s="13" t="str">
        <f>"16076"</f>
        <v>16076</v>
      </c>
      <c r="B561" s="14" t="s">
        <v>909</v>
      </c>
      <c r="C561" s="13" t="str">
        <f>"14.3"</f>
        <v>14.3</v>
      </c>
      <c r="D561" s="32">
        <f>(C561*1.24778761061)+(0.4)</f>
        <v>18.243362831723001</v>
      </c>
      <c r="E561" s="33">
        <f>(C561*1.16814159292)+(-1)</f>
        <v>15.704424778756003</v>
      </c>
      <c r="F561" s="33">
        <f>(C561*1.1238938053)+(-4.4)</f>
        <v>11.671681415790003</v>
      </c>
      <c r="G561" s="33">
        <f>(C561*1.06194690265)+(-5.9)</f>
        <v>9.2858407078949998</v>
      </c>
      <c r="H561" s="34">
        <f>(C561*1.19469026548)+(0)</f>
        <v>17.084070796363999</v>
      </c>
      <c r="I561" s="34">
        <f>(C561*1.16814159292)+(-2)</f>
        <v>14.704424778756003</v>
      </c>
      <c r="J561" s="34">
        <f>(C561*1.1238938053)+(-3.9)</f>
        <v>12.171681415790003</v>
      </c>
      <c r="K561" s="34">
        <f>(C561*1.07964601769)+(-5.6)</f>
        <v>9.8389380529670021</v>
      </c>
    </row>
    <row r="562" spans="1:11" s="21" customFormat="1" ht="19.95" customHeight="1" x14ac:dyDescent="0.25">
      <c r="A562" s="13" t="str">
        <f>"39752"</f>
        <v>39752</v>
      </c>
      <c r="B562" s="14" t="s">
        <v>910</v>
      </c>
      <c r="C562" s="13" t="str">
        <f>"23.4"</f>
        <v>23.4</v>
      </c>
      <c r="D562" s="32">
        <f>(C562*1.24778761061)+(0.4)</f>
        <v>29.598230088274001</v>
      </c>
      <c r="E562" s="33">
        <f>(C562*1.16814159292)+(-1)</f>
        <v>26.334513274328</v>
      </c>
      <c r="F562" s="33">
        <f>(C562*1.1238938053)+(-4.4)</f>
        <v>21.89911504402</v>
      </c>
      <c r="G562" s="33">
        <f>(C562*1.06194690265)+(-5.9)</f>
        <v>18.949557522009997</v>
      </c>
      <c r="H562" s="34">
        <f>(C562*1.19469026548)+(0)</f>
        <v>27.955752212231999</v>
      </c>
      <c r="I562" s="34">
        <f>(C562*1.16814159292)+(-2)</f>
        <v>25.334513274328</v>
      </c>
      <c r="J562" s="34">
        <f>(C562*1.1238938053)+(-3.9)</f>
        <v>22.39911504402</v>
      </c>
      <c r="K562" s="34">
        <f>(C562*1.07964601769)+(-5.6)</f>
        <v>19.663716813945996</v>
      </c>
    </row>
    <row r="563" spans="1:11" s="21" customFormat="1" ht="19.95" customHeight="1" x14ac:dyDescent="0.25">
      <c r="A563" s="13" t="str">
        <f>"5006"</f>
        <v>5006</v>
      </c>
      <c r="B563" s="14" t="s">
        <v>911</v>
      </c>
      <c r="C563" s="13" t="str">
        <f>"9.4"</f>
        <v>9.4</v>
      </c>
      <c r="D563" s="32">
        <f>(C563*1.24778761061)+(0.4)</f>
        <v>12.129203539734002</v>
      </c>
      <c r="E563" s="33">
        <f>(C563*1.16814159292)+(-1)</f>
        <v>9.9805309734480012</v>
      </c>
      <c r="F563" s="33">
        <f>(C563*1.1238938053)+(-4.4)</f>
        <v>6.1646017698200009</v>
      </c>
      <c r="G563" s="33">
        <f>(C563*1.06194690265)+(-5.9)</f>
        <v>4.0823008849099995</v>
      </c>
      <c r="H563" s="34">
        <f>(C563*1.19469026548)+(0)</f>
        <v>11.230088495512</v>
      </c>
      <c r="I563" s="34">
        <f>(C563*1.16814159292)+(-2)</f>
        <v>8.9805309734480012</v>
      </c>
      <c r="J563" s="34">
        <f>(C563*1.1238938053)+(-3.9)</f>
        <v>6.6646017698200009</v>
      </c>
      <c r="K563" s="34">
        <f>(C563*1.07964601769)+(-5.6)</f>
        <v>4.548672566286001</v>
      </c>
    </row>
    <row r="564" spans="1:11" s="21" customFormat="1" ht="19.95" customHeight="1" x14ac:dyDescent="0.25">
      <c r="A564" s="13" t="str">
        <f>"76274"</f>
        <v>76274</v>
      </c>
      <c r="B564" s="14" t="s">
        <v>912</v>
      </c>
      <c r="C564" s="13" t="str">
        <f>"17.4"</f>
        <v>17.4</v>
      </c>
      <c r="D564" s="32">
        <f>(C564*1.24778761061)+(0.4)</f>
        <v>22.111504424613997</v>
      </c>
      <c r="E564" s="33">
        <f>(C564*1.16814159292)+(-1)</f>
        <v>19.325663716807998</v>
      </c>
      <c r="F564" s="33">
        <f>(C564*1.1238938053)+(-4.4)</f>
        <v>15.155752212219999</v>
      </c>
      <c r="G564" s="33">
        <f>(C564*1.06194690265)+(-5.9)</f>
        <v>12.577876106109995</v>
      </c>
      <c r="H564" s="34">
        <f>(C564*1.19469026548)+(0)</f>
        <v>20.787610619351998</v>
      </c>
      <c r="I564" s="34">
        <f>(C564*1.16814159292)+(-2)</f>
        <v>18.325663716807998</v>
      </c>
      <c r="J564" s="34">
        <f>(C564*1.1238938053)+(-3.9)</f>
        <v>15.655752212219999</v>
      </c>
      <c r="K564" s="34">
        <f>(C564*1.07964601769)+(-5.6)</f>
        <v>13.185840707805999</v>
      </c>
    </row>
    <row r="565" spans="1:11" s="21" customFormat="1" ht="19.95" customHeight="1" x14ac:dyDescent="0.25">
      <c r="A565" s="13" t="str">
        <f>"16079"</f>
        <v>16079</v>
      </c>
      <c r="B565" s="14" t="s">
        <v>913</v>
      </c>
      <c r="C565" s="13" t="str">
        <f>"21.0"</f>
        <v>21.0</v>
      </c>
      <c r="D565" s="32">
        <f>(C565*1.24778761061)+(0.4)</f>
        <v>26.603539822809999</v>
      </c>
      <c r="E565" s="33">
        <f>(C565*1.16814159292)+(-1)</f>
        <v>23.530973451320001</v>
      </c>
      <c r="F565" s="33">
        <f>(C565*1.1238938053)+(-4.4)</f>
        <v>19.201769911299998</v>
      </c>
      <c r="G565" s="33">
        <f>(C565*1.06194690265)+(-5.9)</f>
        <v>16.40088495565</v>
      </c>
      <c r="H565" s="34">
        <f>(C565*1.19469026548)+(0)</f>
        <v>25.08849557508</v>
      </c>
      <c r="I565" s="34">
        <f>(C565*1.16814159292)+(-2)</f>
        <v>22.530973451320001</v>
      </c>
      <c r="J565" s="34">
        <f>(C565*1.1238938053)+(-3.9)</f>
        <v>19.701769911300001</v>
      </c>
      <c r="K565" s="34">
        <f>(C565*1.07964601769)+(-5.6)</f>
        <v>17.072566371489998</v>
      </c>
    </row>
    <row r="566" spans="1:11" s="21" customFormat="1" ht="19.95" customHeight="1" x14ac:dyDescent="0.25">
      <c r="A566" s="13" t="str">
        <f>"16080"</f>
        <v>16080</v>
      </c>
      <c r="B566" s="14" t="s">
        <v>914</v>
      </c>
      <c r="C566" s="13" t="str">
        <f>"21.3000"</f>
        <v>21.3000</v>
      </c>
      <c r="D566" s="32">
        <f>(C566*1.24778761061)+(0.4)</f>
        <v>26.977876105993001</v>
      </c>
      <c r="E566" s="33">
        <f>(C566*1.16814159292)+(-1)</f>
        <v>23.881415929196002</v>
      </c>
      <c r="F566" s="33">
        <f>(C566*1.1238938053)+(-4.4)</f>
        <v>19.538938052890003</v>
      </c>
      <c r="G566" s="33">
        <f>(C566*1.06194690265)+(-5.9)</f>
        <v>16.719469026444997</v>
      </c>
      <c r="H566" s="34">
        <f>(C566*1.19469026548)+(0)</f>
        <v>25.446902654724003</v>
      </c>
      <c r="I566" s="34">
        <f>(C566*1.16814159292)+(-2)</f>
        <v>22.881415929196002</v>
      </c>
      <c r="J566" s="34">
        <f>(C566*1.1238938053)+(-3.9)</f>
        <v>20.038938052890003</v>
      </c>
      <c r="K566" s="34">
        <f>(C566*1.07964601769)+(-5.6)</f>
        <v>17.396460176797</v>
      </c>
    </row>
    <row r="567" spans="1:11" s="21" customFormat="1" ht="19.95" customHeight="1" x14ac:dyDescent="0.25">
      <c r="A567" s="13" t="str">
        <f>"71289"</f>
        <v>71289</v>
      </c>
      <c r="B567" s="14" t="s">
        <v>915</v>
      </c>
      <c r="C567" s="13" t="str">
        <f>"13.7"</f>
        <v>13.7</v>
      </c>
      <c r="D567" s="32">
        <f>(C567*1.24778761061)+(0.4)</f>
        <v>17.494690265357001</v>
      </c>
      <c r="E567" s="33">
        <f>(C567*1.16814159292)+(-1)</f>
        <v>15.003539823004001</v>
      </c>
      <c r="F567" s="33">
        <f>(C567*1.1238938053)+(-4.4)</f>
        <v>10.997345132609999</v>
      </c>
      <c r="G567" s="33">
        <f>(C567*1.06194690265)+(-5.9)</f>
        <v>8.648672566304997</v>
      </c>
      <c r="H567" s="34">
        <f>(C567*1.19469026548)+(0)</f>
        <v>16.367256637076</v>
      </c>
      <c r="I567" s="34">
        <f>(C567*1.16814159292)+(-2)</f>
        <v>14.003539823004001</v>
      </c>
      <c r="J567" s="34">
        <f>(C567*1.1238938053)+(-3.9)</f>
        <v>11.497345132609999</v>
      </c>
      <c r="K567" s="34">
        <f>(C567*1.07964601769)+(-5.6)</f>
        <v>9.1911504423529991</v>
      </c>
    </row>
    <row r="568" spans="1:11" s="21" customFormat="1" ht="19.95" customHeight="1" x14ac:dyDescent="0.25">
      <c r="A568" s="13" t="str">
        <f>"1011759"</f>
        <v>1011759</v>
      </c>
      <c r="B568" s="14" t="s">
        <v>916</v>
      </c>
      <c r="C568" s="13" t="str">
        <f>"32.7"</f>
        <v>32.7</v>
      </c>
      <c r="D568" s="32">
        <f>(C568*1.24778761061)+(0.4)</f>
        <v>41.202654866947007</v>
      </c>
      <c r="E568" s="33">
        <f>(C568*1.16814159292)+(-1)</f>
        <v>37.198230088484003</v>
      </c>
      <c r="F568" s="33">
        <f>(C568*1.1238938053)+(-4.4)</f>
        <v>32.351327433310004</v>
      </c>
      <c r="G568" s="33">
        <f>(C568*1.06194690265)+(-5.9)</f>
        <v>28.825663716655001</v>
      </c>
      <c r="H568" s="34">
        <f>(C568*1.19469026548)+(0)</f>
        <v>39.066371681196003</v>
      </c>
      <c r="I568" s="34">
        <f>(C568*1.16814159292)+(-2)</f>
        <v>36.198230088484003</v>
      </c>
      <c r="J568" s="34">
        <f>(C568*1.1238938053)+(-3.9)</f>
        <v>32.851327433310004</v>
      </c>
      <c r="K568" s="34">
        <f>(C568*1.07964601769)+(-5.6)</f>
        <v>29.704424778463</v>
      </c>
    </row>
    <row r="569" spans="1:11" s="21" customFormat="1" ht="19.95" customHeight="1" x14ac:dyDescent="0.25">
      <c r="A569" s="13" t="str">
        <f>"16093"</f>
        <v>16093</v>
      </c>
      <c r="B569" s="14" t="s">
        <v>917</v>
      </c>
      <c r="C569" s="13" t="str">
        <f>"11.8"</f>
        <v>11.8</v>
      </c>
      <c r="D569" s="32">
        <f>(C569*1.24778761061)+(0.4)</f>
        <v>15.123893805198003</v>
      </c>
      <c r="E569" s="33">
        <f>(C569*1.16814159292)+(-1)</f>
        <v>12.784070796456001</v>
      </c>
      <c r="F569" s="33">
        <f>(C569*1.1238938053)+(-4.4)</f>
        <v>8.8619469025400015</v>
      </c>
      <c r="G569" s="33">
        <f>(C569*1.06194690265)+(-5.9)</f>
        <v>6.63097345127</v>
      </c>
      <c r="H569" s="34">
        <f>(C569*1.19469026548)+(0)</f>
        <v>14.097345132664001</v>
      </c>
      <c r="I569" s="34">
        <f>(C569*1.16814159292)+(-2)</f>
        <v>11.784070796456001</v>
      </c>
      <c r="J569" s="34">
        <f>(C569*1.1238938053)+(-3.9)</f>
        <v>9.3619469025400015</v>
      </c>
      <c r="K569" s="34">
        <f>(C569*1.07964601769)+(-5.6)</f>
        <v>7.1398230087420007</v>
      </c>
    </row>
    <row r="570" spans="1:11" s="21" customFormat="1" ht="19.95" customHeight="1" x14ac:dyDescent="0.25">
      <c r="A570" s="13" t="str">
        <f>"24872"</f>
        <v>24872</v>
      </c>
      <c r="B570" s="14" t="s">
        <v>918</v>
      </c>
      <c r="C570" s="13" t="str">
        <f>"12.1"</f>
        <v>12.1</v>
      </c>
      <c r="D570" s="32">
        <f>(C570*1.24778761061)+(0.4)</f>
        <v>15.498230088381002</v>
      </c>
      <c r="E570" s="33">
        <f>(C570*1.16814159292)+(-1)</f>
        <v>13.134513274332001</v>
      </c>
      <c r="F570" s="33">
        <f>(C570*1.1238938053)+(-4.4)</f>
        <v>9.19911504413</v>
      </c>
      <c r="G570" s="33">
        <f>(C570*1.06194690265)+(-5.9)</f>
        <v>6.9495575220649979</v>
      </c>
      <c r="H570" s="34">
        <f>(C570*1.19469026548)+(0)</f>
        <v>14.455752212307999</v>
      </c>
      <c r="I570" s="34">
        <f>(C570*1.16814159292)+(-2)</f>
        <v>12.134513274332001</v>
      </c>
      <c r="J570" s="34">
        <f>(C570*1.1238938053)+(-3.9)</f>
        <v>9.69911504413</v>
      </c>
      <c r="K570" s="34">
        <f>(C570*1.07964601769)+(-5.6)</f>
        <v>7.4637168140490004</v>
      </c>
    </row>
    <row r="571" spans="1:11" s="21" customFormat="1" ht="19.95" customHeight="1" x14ac:dyDescent="0.25">
      <c r="A571" s="13" t="str">
        <f>"16094"</f>
        <v>16094</v>
      </c>
      <c r="B571" s="14" t="s">
        <v>919</v>
      </c>
      <c r="C571" s="13" t="str">
        <f>"34.1"</f>
        <v>34.1</v>
      </c>
      <c r="D571" s="32">
        <f>(C571*1.24778761061)+(0.4)</f>
        <v>42.949557521801005</v>
      </c>
      <c r="E571" s="33">
        <f>(C571*1.16814159292)+(-1)</f>
        <v>38.833628318572003</v>
      </c>
      <c r="F571" s="33">
        <f>(C571*1.1238938053)+(-4.4)</f>
        <v>33.924778760730007</v>
      </c>
      <c r="G571" s="33">
        <f>(C571*1.06194690265)+(-5.9)</f>
        <v>30.312389380364998</v>
      </c>
      <c r="H571" s="34">
        <f>(C571*1.19469026548)+(0)</f>
        <v>40.738938052868001</v>
      </c>
      <c r="I571" s="34">
        <f>(C571*1.16814159292)+(-2)</f>
        <v>37.833628318572003</v>
      </c>
      <c r="J571" s="34">
        <f>(C571*1.1238938053)+(-3.9)</f>
        <v>34.424778760730007</v>
      </c>
      <c r="K571" s="34">
        <f>(C571*1.07964601769)+(-5.6)</f>
        <v>31.215929203229003</v>
      </c>
    </row>
    <row r="572" spans="1:11" s="21" customFormat="1" ht="19.95" customHeight="1" x14ac:dyDescent="0.25">
      <c r="A572" s="13" t="str">
        <f>"1009333"</f>
        <v>1009333</v>
      </c>
      <c r="B572" s="14" t="s">
        <v>920</v>
      </c>
      <c r="C572" s="13" t="str">
        <f>"27.2"</f>
        <v>27.2</v>
      </c>
      <c r="D572" s="32">
        <f>(C572*1.24778761061)+(0.4)</f>
        <v>34.339823008591999</v>
      </c>
      <c r="E572" s="33">
        <f>(C572*1.16814159292)+(-1)</f>
        <v>30.773451327424002</v>
      </c>
      <c r="F572" s="33">
        <f>(C572*1.1238938053)+(-4.4)</f>
        <v>26.169911504159998</v>
      </c>
      <c r="G572" s="33">
        <f>(C572*1.06194690265)+(-5.9)</f>
        <v>22.984955752079998</v>
      </c>
      <c r="H572" s="34">
        <f>(C572*1.19469026548)+(0)</f>
        <v>32.495575221056001</v>
      </c>
      <c r="I572" s="34">
        <f>(C572*1.16814159292)+(-2)</f>
        <v>29.773451327424002</v>
      </c>
      <c r="J572" s="34">
        <f>(C572*1.1238938053)+(-3.9)</f>
        <v>26.669911504160002</v>
      </c>
      <c r="K572" s="34">
        <f>(C572*1.07964601769)+(-5.6)</f>
        <v>23.766371681168003</v>
      </c>
    </row>
    <row r="573" spans="1:11" s="21" customFormat="1" ht="19.95" customHeight="1" x14ac:dyDescent="0.25">
      <c r="A573" s="13" t="str">
        <f>"16095"</f>
        <v>16095</v>
      </c>
      <c r="B573" s="14" t="s">
        <v>921</v>
      </c>
      <c r="C573" s="13" t="str">
        <f>"22.6"</f>
        <v>22.6</v>
      </c>
      <c r="D573" s="32">
        <f>(C573*1.24778761061)+(0.4)</f>
        <v>28.599999999786004</v>
      </c>
      <c r="E573" s="33">
        <f>(C573*1.16814159292)+(-1)</f>
        <v>25.399999999992005</v>
      </c>
      <c r="F573" s="33">
        <f>(C573*1.1238938053)+(-4.4)</f>
        <v>20.999999999780002</v>
      </c>
      <c r="G573" s="33">
        <f>(C573*1.06194690265)+(-5.9)</f>
        <v>18.099999999890002</v>
      </c>
      <c r="H573" s="34">
        <f>(C573*1.19469026548)+(0)</f>
        <v>26.999999999848001</v>
      </c>
      <c r="I573" s="34">
        <f>(C573*1.16814159292)+(-2)</f>
        <v>24.399999999992005</v>
      </c>
      <c r="J573" s="34">
        <f>(C573*1.1238938053)+(-3.9)</f>
        <v>21.499999999780005</v>
      </c>
      <c r="K573" s="34">
        <f>(C573*1.07964601769)+(-5.6)</f>
        <v>18.799999999794004</v>
      </c>
    </row>
    <row r="574" spans="1:11" s="21" customFormat="1" ht="19.95" customHeight="1" x14ac:dyDescent="0.25">
      <c r="A574" s="13" t="str">
        <f>"16096"</f>
        <v>16096</v>
      </c>
      <c r="B574" s="14" t="s">
        <v>922</v>
      </c>
      <c r="C574" s="13" t="str">
        <f>"25.5"</f>
        <v>25.5</v>
      </c>
      <c r="D574" s="32">
        <f>(C574*1.24778761061)+(0.4)</f>
        <v>32.218584070555004</v>
      </c>
      <c r="E574" s="33">
        <f>(C574*1.16814159292)+(-1)</f>
        <v>28.787610619460001</v>
      </c>
      <c r="F574" s="33">
        <f>(C574*1.1238938053)+(-4.4)</f>
        <v>24.259292035150004</v>
      </c>
      <c r="G574" s="33">
        <f>(C574*1.06194690265)+(-5.9)</f>
        <v>21.179646017574996</v>
      </c>
      <c r="H574" s="34">
        <f>(C574*1.19469026548)+(0)</f>
        <v>30.46460176974</v>
      </c>
      <c r="I574" s="34">
        <f>(C574*1.16814159292)+(-2)</f>
        <v>27.787610619460001</v>
      </c>
      <c r="J574" s="34">
        <f>(C574*1.1238938053)+(-3.9)</f>
        <v>24.759292035150004</v>
      </c>
      <c r="K574" s="34">
        <f>(C574*1.07964601769)+(-5.6)</f>
        <v>21.930973451094999</v>
      </c>
    </row>
    <row r="575" spans="1:11" s="21" customFormat="1" ht="19.95" customHeight="1" x14ac:dyDescent="0.25">
      <c r="A575" s="13" t="str">
        <f>"1922"</f>
        <v>1922</v>
      </c>
      <c r="B575" s="14" t="s">
        <v>923</v>
      </c>
      <c r="C575" s="13" t="str">
        <f>"11.1"</f>
        <v>11.1</v>
      </c>
      <c r="D575" s="32">
        <f>(C575*1.24778761061)+(0.4)</f>
        <v>14.250442477771001</v>
      </c>
      <c r="E575" s="33">
        <f>(C575*1.16814159292)+(-1)</f>
        <v>11.966371681412001</v>
      </c>
      <c r="F575" s="33">
        <f>(C575*1.1238938053)+(-4.4)</f>
        <v>8.0752212388300002</v>
      </c>
      <c r="G575" s="33">
        <f>(C575*1.06194690265)+(-5.9)</f>
        <v>5.887610619414998</v>
      </c>
      <c r="H575" s="34">
        <f>(C575*1.19469026548)+(0)</f>
        <v>13.261061946827999</v>
      </c>
      <c r="I575" s="34">
        <f>(C575*1.16814159292)+(-2)</f>
        <v>10.966371681412001</v>
      </c>
      <c r="J575" s="34">
        <f>(C575*1.1238938053)+(-3.9)</f>
        <v>8.5752212388300002</v>
      </c>
      <c r="K575" s="34">
        <f>(C575*1.07964601769)+(-5.6)</f>
        <v>6.3840707963589995</v>
      </c>
    </row>
    <row r="576" spans="1:11" s="21" customFormat="1" ht="19.95" customHeight="1" x14ac:dyDescent="0.25">
      <c r="A576" s="13" t="str">
        <f>"16103"</f>
        <v>16103</v>
      </c>
      <c r="B576" s="14" t="s">
        <v>924</v>
      </c>
      <c r="C576" s="13" t="str">
        <f>"14.8"</f>
        <v>14.8</v>
      </c>
      <c r="D576" s="32">
        <f>(C576*1.24778761061)+(0.4)</f>
        <v>18.867256637027999</v>
      </c>
      <c r="E576" s="33">
        <f>(C576*1.16814159292)+(-1)</f>
        <v>16.288495575216</v>
      </c>
      <c r="F576" s="33">
        <f>(C576*1.1238938053)+(-4.4)</f>
        <v>12.233628318440003</v>
      </c>
      <c r="G576" s="33">
        <f>(C576*1.06194690265)+(-5.9)</f>
        <v>9.8168141592199998</v>
      </c>
      <c r="H576" s="34">
        <f>(C576*1.19469026548)+(0)</f>
        <v>17.681415929104002</v>
      </c>
      <c r="I576" s="34">
        <f>(C576*1.16814159292)+(-2)</f>
        <v>15.288495575216</v>
      </c>
      <c r="J576" s="34">
        <f>(C576*1.1238938053)+(-3.9)</f>
        <v>12.733628318440003</v>
      </c>
      <c r="K576" s="34">
        <f>(C576*1.07964601769)+(-5.6)</f>
        <v>10.378761061812002</v>
      </c>
    </row>
    <row r="577" spans="1:11" s="21" customFormat="1" ht="19.95" customHeight="1" x14ac:dyDescent="0.25">
      <c r="A577" s="13" t="str">
        <f>"1014860"</f>
        <v>1014860</v>
      </c>
      <c r="B577" s="14" t="s">
        <v>925</v>
      </c>
      <c r="C577" s="13" t="str">
        <f>"14.7"</f>
        <v>14.7</v>
      </c>
      <c r="D577" s="32">
        <f>(C577*1.24778761061)+(0.4)</f>
        <v>18.742477875966998</v>
      </c>
      <c r="E577" s="33">
        <f>(C577*1.16814159292)+(-1)</f>
        <v>16.171681415923999</v>
      </c>
      <c r="F577" s="33">
        <f>(C577*1.1238938053)+(-4.4)</f>
        <v>12.121238937909999</v>
      </c>
      <c r="G577" s="33">
        <f>(C577*1.06194690265)+(-5.9)</f>
        <v>9.7106194689549969</v>
      </c>
      <c r="H577" s="34">
        <f>(C577*1.19469026548)+(0)</f>
        <v>17.561946902555999</v>
      </c>
      <c r="I577" s="34">
        <f>(C577*1.16814159292)+(-2)</f>
        <v>15.171681415923999</v>
      </c>
      <c r="J577" s="34">
        <f>(C577*1.1238938053)+(-3.9)</f>
        <v>12.621238937909999</v>
      </c>
      <c r="K577" s="34">
        <f>(C577*1.07964601769)+(-5.6)</f>
        <v>10.270796460043</v>
      </c>
    </row>
    <row r="578" spans="1:11" s="21" customFormat="1" ht="19.95" customHeight="1" x14ac:dyDescent="0.25">
      <c r="A578" s="13" t="str">
        <f>"76677"</f>
        <v>76677</v>
      </c>
      <c r="B578" s="14" t="s">
        <v>926</v>
      </c>
      <c r="C578" s="13" t="str">
        <f>"5.0"</f>
        <v>5.0</v>
      </c>
      <c r="D578" s="32">
        <f>(C578*1.24778761061)+(0.4)</f>
        <v>6.6389380530500013</v>
      </c>
      <c r="E578" s="33">
        <f>(C578*1.16814159292)+(-1)</f>
        <v>4.8407079646</v>
      </c>
      <c r="F578" s="33">
        <f>(C578*1.1238938053)+(-4.4)</f>
        <v>1.2194690264999997</v>
      </c>
      <c r="G578" s="33">
        <f>(C578*1.06194690265)+(-5.9)</f>
        <v>-0.59026548675000079</v>
      </c>
      <c r="H578" s="34">
        <f>(C578*1.19469026548)+(0)</f>
        <v>5.9734513274000003</v>
      </c>
      <c r="I578" s="34">
        <f>(C578*1.16814159292)+(-2)</f>
        <v>3.8407079646</v>
      </c>
      <c r="J578" s="34">
        <f>(C578*1.1238938053)+(-3.9)</f>
        <v>1.7194690265000001</v>
      </c>
      <c r="K578" s="34">
        <f>(C578*1.07964601769)+(-5.6)</f>
        <v>-0.20176991154999957</v>
      </c>
    </row>
    <row r="579" spans="1:11" s="21" customFormat="1" ht="19.95" customHeight="1" x14ac:dyDescent="0.25">
      <c r="A579" s="13" t="str">
        <f>"16107"</f>
        <v>16107</v>
      </c>
      <c r="B579" s="14" t="s">
        <v>927</v>
      </c>
      <c r="C579" s="13" t="str">
        <f>"19.7"</f>
        <v>19.7</v>
      </c>
      <c r="D579" s="32">
        <f>(C579*1.24778761061)+(0.4)</f>
        <v>24.981415929017</v>
      </c>
      <c r="E579" s="33">
        <f>(C579*1.16814159292)+(-1)</f>
        <v>22.012389380524002</v>
      </c>
      <c r="F579" s="33">
        <f>(C579*1.1238938053)+(-4.4)</f>
        <v>17.740707964409999</v>
      </c>
      <c r="G579" s="33">
        <f>(C579*1.06194690265)+(-5.9)</f>
        <v>15.020353982204997</v>
      </c>
      <c r="H579" s="34">
        <f>(C579*1.19469026548)+(0)</f>
        <v>23.535398229955998</v>
      </c>
      <c r="I579" s="34">
        <f>(C579*1.16814159292)+(-2)</f>
        <v>21.012389380524002</v>
      </c>
      <c r="J579" s="34">
        <f>(C579*1.1238938053)+(-3.9)</f>
        <v>18.240707964410003</v>
      </c>
      <c r="K579" s="34">
        <f>(C579*1.07964601769)+(-5.6)</f>
        <v>15.669026548492999</v>
      </c>
    </row>
    <row r="580" spans="1:11" s="21" customFormat="1" ht="19.95" customHeight="1" x14ac:dyDescent="0.25">
      <c r="A580" s="13" t="str">
        <f>"1962"</f>
        <v>1962</v>
      </c>
      <c r="B580" s="14" t="s">
        <v>928</v>
      </c>
      <c r="C580" s="13" t="str">
        <f>"15.4"</f>
        <v>15.4</v>
      </c>
      <c r="D580" s="32">
        <f>(C580*1.24778761061)+(0.4)</f>
        <v>19.615929203394</v>
      </c>
      <c r="E580" s="33">
        <f>(C580*1.16814159292)+(-1)</f>
        <v>16.989380530968003</v>
      </c>
      <c r="F580" s="33">
        <f>(C580*1.1238938053)+(-4.4)</f>
        <v>12.90796460162</v>
      </c>
      <c r="G580" s="33">
        <f>(C580*1.06194690265)+(-5.9)</f>
        <v>10.453982300809999</v>
      </c>
      <c r="H580" s="34">
        <f>(C580*1.19469026548)+(0)</f>
        <v>18.398230088392001</v>
      </c>
      <c r="I580" s="34">
        <f>(C580*1.16814159292)+(-2)</f>
        <v>15.989380530968003</v>
      </c>
      <c r="J580" s="34">
        <f>(C580*1.1238938053)+(-3.9)</f>
        <v>13.40796460162</v>
      </c>
      <c r="K580" s="34">
        <f>(C580*1.07964601769)+(-5.6)</f>
        <v>11.026548672426001</v>
      </c>
    </row>
    <row r="581" spans="1:11" s="21" customFormat="1" ht="19.95" customHeight="1" x14ac:dyDescent="0.25">
      <c r="A581" s="13" t="str">
        <f>"16116"</f>
        <v>16116</v>
      </c>
      <c r="B581" s="14" t="s">
        <v>929</v>
      </c>
      <c r="C581" s="13" t="str">
        <f>"34.4"</f>
        <v>34.4</v>
      </c>
      <c r="D581" s="32">
        <f>(C581*1.24778761061)+(0.4)</f>
        <v>43.323893804984003</v>
      </c>
      <c r="E581" s="33">
        <f>(C581*1.16814159292)+(-1)</f>
        <v>39.184070796448005</v>
      </c>
      <c r="F581" s="33">
        <f>(C581*1.1238938053)+(-4.4)</f>
        <v>34.261946902319998</v>
      </c>
      <c r="G581" s="33">
        <f>(C581*1.06194690265)+(-5.9)</f>
        <v>30.630973451159996</v>
      </c>
      <c r="H581" s="34">
        <f>(C581*1.19469026548)+(0)</f>
        <v>41.097345132511997</v>
      </c>
      <c r="I581" s="34">
        <f>(C581*1.16814159292)+(-2)</f>
        <v>38.184070796448005</v>
      </c>
      <c r="J581" s="34">
        <f>(C581*1.1238938053)+(-3.9)</f>
        <v>34.761946902319998</v>
      </c>
      <c r="K581" s="34">
        <f>(C581*1.07964601769)+(-5.6)</f>
        <v>31.539823008535997</v>
      </c>
    </row>
    <row r="582" spans="1:11" s="21" customFormat="1" ht="19.95" customHeight="1" x14ac:dyDescent="0.25">
      <c r="A582" s="13" t="str">
        <f>"49908"</f>
        <v>49908</v>
      </c>
      <c r="B582" s="14" t="s">
        <v>930</v>
      </c>
      <c r="C582" s="13" t="str">
        <f>"26.1"</f>
        <v>26.1</v>
      </c>
      <c r="D582" s="32">
        <f>(C582*1.24778761061)+(0.4)</f>
        <v>32.967256636921</v>
      </c>
      <c r="E582" s="33">
        <f>(C582*1.16814159292)+(-1)</f>
        <v>29.488495575212003</v>
      </c>
      <c r="F582" s="33">
        <f>(C582*1.1238938053)+(-4.4)</f>
        <v>24.933628318330001</v>
      </c>
      <c r="G582" s="33">
        <f>(C582*1.06194690265)+(-5.9)</f>
        <v>21.816814159164998</v>
      </c>
      <c r="H582" s="34">
        <f>(C582*1.19469026548)+(0)</f>
        <v>31.181415929028002</v>
      </c>
      <c r="I582" s="34">
        <f>(C582*1.16814159292)+(-2)</f>
        <v>28.488495575212003</v>
      </c>
      <c r="J582" s="34">
        <f>(C582*1.1238938053)+(-3.9)</f>
        <v>25.433628318330005</v>
      </c>
      <c r="K582" s="34">
        <f>(C582*1.07964601769)+(-5.6)</f>
        <v>22.578761061709002</v>
      </c>
    </row>
    <row r="583" spans="1:11" s="21" customFormat="1" ht="19.95" customHeight="1" x14ac:dyDescent="0.25">
      <c r="A583" s="13" t="str">
        <f>"28795"</f>
        <v>28795</v>
      </c>
      <c r="B583" s="14" t="s">
        <v>931</v>
      </c>
      <c r="C583" s="13" t="str">
        <f>"14.8"</f>
        <v>14.8</v>
      </c>
      <c r="D583" s="32">
        <f>(C583*1.24778761061)+(0.4)</f>
        <v>18.867256637027999</v>
      </c>
      <c r="E583" s="33">
        <f>(C583*1.16814159292)+(-1)</f>
        <v>16.288495575216</v>
      </c>
      <c r="F583" s="33">
        <f>(C583*1.1238938053)+(-4.4)</f>
        <v>12.233628318440003</v>
      </c>
      <c r="G583" s="33">
        <f>(C583*1.06194690265)+(-5.9)</f>
        <v>9.8168141592199998</v>
      </c>
      <c r="H583" s="34">
        <f>(C583*1.19469026548)+(0)</f>
        <v>17.681415929104002</v>
      </c>
      <c r="I583" s="34">
        <f>(C583*1.16814159292)+(-2)</f>
        <v>15.288495575216</v>
      </c>
      <c r="J583" s="34">
        <f>(C583*1.1238938053)+(-3.9)</f>
        <v>12.733628318440003</v>
      </c>
      <c r="K583" s="34">
        <f>(C583*1.07964601769)+(-5.6)</f>
        <v>10.378761061812002</v>
      </c>
    </row>
    <row r="584" spans="1:11" s="21" customFormat="1" ht="19.95" customHeight="1" x14ac:dyDescent="0.25">
      <c r="A584" s="13" t="str">
        <f>"81350"</f>
        <v>81350</v>
      </c>
      <c r="B584" s="14" t="s">
        <v>932</v>
      </c>
      <c r="C584" s="13" t="str">
        <f>"21.6"</f>
        <v>21.6</v>
      </c>
      <c r="D584" s="32">
        <f>(C584*1.24778761061)+(0.4)</f>
        <v>27.352212389176003</v>
      </c>
      <c r="E584" s="33">
        <f>(C584*1.16814159292)+(-1)</f>
        <v>24.231858407072004</v>
      </c>
      <c r="F584" s="33">
        <f>(C584*1.1238938053)+(-4.4)</f>
        <v>19.876106194480002</v>
      </c>
      <c r="G584" s="33">
        <f>(C584*1.06194690265)+(-5.9)</f>
        <v>17.038053097240002</v>
      </c>
      <c r="H584" s="34">
        <f>(C584*1.19469026548)+(0)</f>
        <v>25.805309734368002</v>
      </c>
      <c r="I584" s="34">
        <f>(C584*1.16814159292)+(-2)</f>
        <v>23.231858407072004</v>
      </c>
      <c r="J584" s="34">
        <f>(C584*1.1238938053)+(-3.9)</f>
        <v>20.376106194480005</v>
      </c>
      <c r="K584" s="34">
        <f>(C584*1.07964601769)+(-5.6)</f>
        <v>17.720353982104001</v>
      </c>
    </row>
    <row r="585" spans="1:11" s="21" customFormat="1" ht="19.95" customHeight="1" x14ac:dyDescent="0.25">
      <c r="A585" s="13" t="str">
        <f>"16122"</f>
        <v>16122</v>
      </c>
      <c r="B585" s="14" t="s">
        <v>933</v>
      </c>
      <c r="C585" s="13" t="str">
        <f>"28.7000"</f>
        <v>28.7000</v>
      </c>
      <c r="D585" s="32">
        <f>(C585*1.24778761061)+(0.4)</f>
        <v>36.211504424506998</v>
      </c>
      <c r="E585" s="33">
        <f>(C585*1.16814159292)+(-1)</f>
        <v>32.525663716804004</v>
      </c>
      <c r="F585" s="33">
        <f>(C585*1.1238938053)+(-4.4)</f>
        <v>27.855752212110005</v>
      </c>
      <c r="G585" s="33">
        <f>(C585*1.06194690265)+(-5.9)</f>
        <v>24.577876106054994</v>
      </c>
      <c r="H585" s="34">
        <f>(C585*1.19469026548)+(0)</f>
        <v>34.287610619276002</v>
      </c>
      <c r="I585" s="34">
        <f>(C585*1.16814159292)+(-2)</f>
        <v>31.525663716804004</v>
      </c>
      <c r="J585" s="34">
        <f>(C585*1.1238938053)+(-3.9)</f>
        <v>28.355752212110005</v>
      </c>
      <c r="K585" s="34">
        <f>(C585*1.07964601769)+(-5.6)</f>
        <v>25.385840707702997</v>
      </c>
    </row>
    <row r="586" spans="1:11" s="21" customFormat="1" ht="19.95" customHeight="1" x14ac:dyDescent="0.25">
      <c r="A586" s="13" t="str">
        <f>"16123"</f>
        <v>16123</v>
      </c>
      <c r="B586" s="14" t="s">
        <v>934</v>
      </c>
      <c r="C586" s="13" t="str">
        <f>"17.8"</f>
        <v>17.8</v>
      </c>
      <c r="D586" s="32">
        <f>(C586*1.24778761061)+(0.4)</f>
        <v>22.610619468858001</v>
      </c>
      <c r="E586" s="33">
        <f>(C586*1.16814159292)+(-1)</f>
        <v>19.792920353976001</v>
      </c>
      <c r="F586" s="33">
        <f>(C586*1.1238938053)+(-4.4)</f>
        <v>15.605309734340002</v>
      </c>
      <c r="G586" s="33">
        <f>(C586*1.06194690265)+(-5.9)</f>
        <v>13.00265486717</v>
      </c>
      <c r="H586" s="34">
        <f>(C586*1.19469026548)+(0)</f>
        <v>21.265486725544001</v>
      </c>
      <c r="I586" s="34">
        <f>(C586*1.16814159292)+(-2)</f>
        <v>18.792920353976001</v>
      </c>
      <c r="J586" s="34">
        <f>(C586*1.1238938053)+(-3.9)</f>
        <v>16.105309734340004</v>
      </c>
      <c r="K586" s="34">
        <f>(C586*1.07964601769)+(-5.6)</f>
        <v>13.617699114882003</v>
      </c>
    </row>
    <row r="587" spans="1:11" s="21" customFormat="1" ht="19.95" customHeight="1" x14ac:dyDescent="0.25">
      <c r="A587" s="13" t="str">
        <f>"16124"</f>
        <v>16124</v>
      </c>
      <c r="B587" s="14" t="s">
        <v>935</v>
      </c>
      <c r="C587" s="13" t="str">
        <f>"25.4"</f>
        <v>25.4</v>
      </c>
      <c r="D587" s="32">
        <f>(C587*1.24778761061)+(0.4)</f>
        <v>32.093805309494002</v>
      </c>
      <c r="E587" s="33">
        <f>(C587*1.16814159292)+(-1)</f>
        <v>28.670796460167999</v>
      </c>
      <c r="F587" s="33">
        <f>(C587*1.1238938053)+(-4.4)</f>
        <v>24.14690265462</v>
      </c>
      <c r="G587" s="33">
        <f>(C587*1.06194690265)+(-5.9)</f>
        <v>21.073451327309996</v>
      </c>
      <c r="H587" s="34">
        <f>(C587*1.19469026548)+(0)</f>
        <v>30.345132743192</v>
      </c>
      <c r="I587" s="34">
        <f>(C587*1.16814159292)+(-2)</f>
        <v>27.670796460167999</v>
      </c>
      <c r="J587" s="34">
        <f>(C587*1.1238938053)+(-3.9)</f>
        <v>24.64690265462</v>
      </c>
      <c r="K587" s="34">
        <f>(C587*1.07964601769)+(-5.6)</f>
        <v>21.823008849326001</v>
      </c>
    </row>
    <row r="588" spans="1:11" s="21" customFormat="1" ht="19.95" customHeight="1" x14ac:dyDescent="0.25">
      <c r="A588" s="13" t="str">
        <f>"16128"</f>
        <v>16128</v>
      </c>
      <c r="B588" s="14" t="s">
        <v>936</v>
      </c>
      <c r="C588" s="13" t="str">
        <f>"8.6"</f>
        <v>8.6</v>
      </c>
      <c r="D588" s="32">
        <f>(C588*1.24778761061)+(0.4)</f>
        <v>11.130973451246001</v>
      </c>
      <c r="E588" s="33">
        <f>(C588*1.16814159292)+(-1)</f>
        <v>9.0460176991120012</v>
      </c>
      <c r="F588" s="33">
        <f>(C588*1.1238938053)+(-4.4)</f>
        <v>5.2654867255799989</v>
      </c>
      <c r="G588" s="33">
        <f>(C588*1.06194690265)+(-5.9)</f>
        <v>3.2327433627899982</v>
      </c>
      <c r="H588" s="34">
        <f>(C588*1.19469026548)+(0)</f>
        <v>10.274336283127999</v>
      </c>
      <c r="I588" s="34">
        <f>(C588*1.16814159292)+(-2)</f>
        <v>8.0460176991120012</v>
      </c>
      <c r="J588" s="34">
        <f>(C588*1.1238938053)+(-3.9)</f>
        <v>5.7654867255799989</v>
      </c>
      <c r="K588" s="34">
        <f>(C588*1.07964601769)+(-5.6)</f>
        <v>3.684955752134</v>
      </c>
    </row>
    <row r="589" spans="1:11" s="21" customFormat="1" ht="19.95" customHeight="1" x14ac:dyDescent="0.25">
      <c r="A589" s="13" t="str">
        <f>"70490"</f>
        <v>70490</v>
      </c>
      <c r="B589" s="14" t="s">
        <v>937</v>
      </c>
      <c r="C589" s="13" t="str">
        <f>"25.5"</f>
        <v>25.5</v>
      </c>
      <c r="D589" s="32">
        <f>(C589*1.24778761061)+(0.4)</f>
        <v>32.218584070555004</v>
      </c>
      <c r="E589" s="33">
        <f>(C589*1.16814159292)+(-1)</f>
        <v>28.787610619460001</v>
      </c>
      <c r="F589" s="33">
        <f>(C589*1.1238938053)+(-4.4)</f>
        <v>24.259292035150004</v>
      </c>
      <c r="G589" s="33">
        <f>(C589*1.06194690265)+(-5.9)</f>
        <v>21.179646017574996</v>
      </c>
      <c r="H589" s="34">
        <f>(C589*1.19469026548)+(0)</f>
        <v>30.46460176974</v>
      </c>
      <c r="I589" s="34">
        <f>(C589*1.16814159292)+(-2)</f>
        <v>27.787610619460001</v>
      </c>
      <c r="J589" s="34">
        <f>(C589*1.1238938053)+(-3.9)</f>
        <v>24.759292035150004</v>
      </c>
      <c r="K589" s="34">
        <f>(C589*1.07964601769)+(-5.6)</f>
        <v>21.930973451094999</v>
      </c>
    </row>
    <row r="590" spans="1:11" s="21" customFormat="1" ht="19.95" customHeight="1" x14ac:dyDescent="0.25">
      <c r="A590" s="13" t="str">
        <f>"41371"</f>
        <v>41371</v>
      </c>
      <c r="B590" s="14" t="s">
        <v>938</v>
      </c>
      <c r="C590" s="13" t="str">
        <f>"16.7"</f>
        <v>16.7</v>
      </c>
      <c r="D590" s="32">
        <f>(C590*1.24778761061)+(0.4)</f>
        <v>21.238053097186999</v>
      </c>
      <c r="E590" s="33">
        <f>(C590*1.16814159292)+(-1)</f>
        <v>18.507964601764002</v>
      </c>
      <c r="F590" s="33">
        <f>(C590*1.1238938053)+(-4.4)</f>
        <v>14.369026548509998</v>
      </c>
      <c r="G590" s="33">
        <f>(C590*1.06194690265)+(-5.9)</f>
        <v>11.834513274254997</v>
      </c>
      <c r="H590" s="34">
        <f>(C590*1.19469026548)+(0)</f>
        <v>19.951327433515999</v>
      </c>
      <c r="I590" s="34">
        <f>(C590*1.16814159292)+(-2)</f>
        <v>17.507964601764002</v>
      </c>
      <c r="J590" s="34">
        <f>(C590*1.1238938053)+(-3.9)</f>
        <v>14.869026548509998</v>
      </c>
      <c r="K590" s="34">
        <f>(C590*1.07964601769)+(-5.6)</f>
        <v>12.430088495422998</v>
      </c>
    </row>
    <row r="591" spans="1:11" s="21" customFormat="1" ht="19.95" customHeight="1" x14ac:dyDescent="0.25">
      <c r="A591" s="13" t="str">
        <f>"16130"</f>
        <v>16130</v>
      </c>
      <c r="B591" s="14" t="s">
        <v>939</v>
      </c>
      <c r="C591" s="13" t="str">
        <f>"33.0"</f>
        <v>33.0</v>
      </c>
      <c r="D591" s="32">
        <f>(C591*1.24778761061)+(0.4)</f>
        <v>41.576991150129999</v>
      </c>
      <c r="E591" s="33">
        <f>(C591*1.16814159292)+(-1)</f>
        <v>37.548672566360004</v>
      </c>
      <c r="F591" s="33">
        <f>(C591*1.1238938053)+(-4.4)</f>
        <v>32.688495574900003</v>
      </c>
      <c r="G591" s="33">
        <f>(C591*1.06194690265)+(-5.9)</f>
        <v>29.144247787449999</v>
      </c>
      <c r="H591" s="34">
        <f>(C591*1.19469026548)+(0)</f>
        <v>39.424778760839999</v>
      </c>
      <c r="I591" s="34">
        <f>(C591*1.16814159292)+(-2)</f>
        <v>36.548672566360004</v>
      </c>
      <c r="J591" s="34">
        <f>(C591*1.1238938053)+(-3.9)</f>
        <v>33.188495574900003</v>
      </c>
      <c r="K591" s="34">
        <f>(C591*1.07964601769)+(-5.6)</f>
        <v>30.028318583770002</v>
      </c>
    </row>
    <row r="592" spans="1:11" s="21" customFormat="1" ht="19.95" customHeight="1" x14ac:dyDescent="0.25">
      <c r="A592" s="13" t="str">
        <f>"67815"</f>
        <v>67815</v>
      </c>
      <c r="B592" s="14" t="s">
        <v>940</v>
      </c>
      <c r="C592" s="13" t="str">
        <f>"14.2"</f>
        <v>14.2</v>
      </c>
      <c r="D592" s="32">
        <f>(C592*1.24778761061)+(0.4)</f>
        <v>18.118584070661999</v>
      </c>
      <c r="E592" s="33">
        <f>(C592*1.16814159292)+(-1)</f>
        <v>15.587610619464002</v>
      </c>
      <c r="F592" s="33">
        <f>(C592*1.1238938053)+(-4.4)</f>
        <v>11.55929203526</v>
      </c>
      <c r="G592" s="33">
        <f>(C592*1.06194690265)+(-5.9)</f>
        <v>9.179646017629997</v>
      </c>
      <c r="H592" s="34">
        <f>(C592*1.19469026548)+(0)</f>
        <v>16.964601769815999</v>
      </c>
      <c r="I592" s="34">
        <f>(C592*1.16814159292)+(-2)</f>
        <v>14.587610619464002</v>
      </c>
      <c r="J592" s="34">
        <f>(C592*1.1238938053)+(-3.9)</f>
        <v>12.05929203526</v>
      </c>
      <c r="K592" s="34">
        <f>(C592*1.07964601769)+(-5.6)</f>
        <v>9.7309734511980004</v>
      </c>
    </row>
    <row r="593" spans="1:11" s="21" customFormat="1" ht="19.95" customHeight="1" x14ac:dyDescent="0.25">
      <c r="A593" s="13" t="str">
        <f>"66449"</f>
        <v>66449</v>
      </c>
      <c r="B593" s="14" t="s">
        <v>941</v>
      </c>
      <c r="C593" s="13" t="str">
        <f>"28.3"</f>
        <v>28.3</v>
      </c>
      <c r="D593" s="32">
        <f>(C593*1.24778761061)+(0.4)</f>
        <v>35.712389380263005</v>
      </c>
      <c r="E593" s="33">
        <f>(C593*1.16814159292)+(-1)</f>
        <v>32.058407079636005</v>
      </c>
      <c r="F593" s="33">
        <f>(C593*1.1238938053)+(-4.4)</f>
        <v>27.406194689990002</v>
      </c>
      <c r="G593" s="33">
        <f>(C593*1.06194690265)+(-5.9)</f>
        <v>24.153097344994997</v>
      </c>
      <c r="H593" s="34">
        <f>(C593*1.19469026548)+(0)</f>
        <v>33.809734513084003</v>
      </c>
      <c r="I593" s="34">
        <f>(C593*1.16814159292)+(-2)</f>
        <v>31.058407079636005</v>
      </c>
      <c r="J593" s="34">
        <f>(C593*1.1238938053)+(-3.9)</f>
        <v>27.906194689990002</v>
      </c>
      <c r="K593" s="34">
        <f>(C593*1.07964601769)+(-5.6)</f>
        <v>24.953982300627004</v>
      </c>
    </row>
    <row r="594" spans="1:11" s="21" customFormat="1" ht="19.95" customHeight="1" x14ac:dyDescent="0.25">
      <c r="A594" s="13" t="str">
        <f>"75471"</f>
        <v>75471</v>
      </c>
      <c r="B594" s="14" t="s">
        <v>942</v>
      </c>
      <c r="C594" s="13" t="str">
        <f>"14.0"</f>
        <v>14.0</v>
      </c>
      <c r="D594" s="32">
        <f>(C594*1.24778761061)+(0.4)</f>
        <v>17.869026548539999</v>
      </c>
      <c r="E594" s="33">
        <f>(C594*1.16814159292)+(-1)</f>
        <v>15.353982300880002</v>
      </c>
      <c r="F594" s="33">
        <f>(C594*1.1238938053)+(-4.4)</f>
        <v>11.334513274200001</v>
      </c>
      <c r="G594" s="33">
        <f>(C594*1.06194690265)+(-5.9)</f>
        <v>8.9672566370999984</v>
      </c>
      <c r="H594" s="34">
        <f>(C594*1.19469026548)+(0)</f>
        <v>16.72566371672</v>
      </c>
      <c r="I594" s="34">
        <f>(C594*1.16814159292)+(-2)</f>
        <v>14.353982300880002</v>
      </c>
      <c r="J594" s="34">
        <f>(C594*1.1238938053)+(-3.9)</f>
        <v>11.834513274200001</v>
      </c>
      <c r="K594" s="34">
        <f>(C594*1.07964601769)+(-5.6)</f>
        <v>9.5150442476600006</v>
      </c>
    </row>
    <row r="595" spans="1:11" s="21" customFormat="1" ht="19.95" customHeight="1" x14ac:dyDescent="0.25">
      <c r="A595" s="13" t="str">
        <f>"71916"</f>
        <v>71916</v>
      </c>
      <c r="B595" s="14" t="s">
        <v>943</v>
      </c>
      <c r="C595" s="13" t="str">
        <f>"16.0"</f>
        <v>16.0</v>
      </c>
      <c r="D595" s="32">
        <f>(C595*1.24778761061)+(0.4)</f>
        <v>20.36460176976</v>
      </c>
      <c r="E595" s="33">
        <f>(C595*1.16814159292)+(-1)</f>
        <v>17.690265486720001</v>
      </c>
      <c r="F595" s="33">
        <f>(C595*1.1238938053)+(-4.4)</f>
        <v>13.5823008848</v>
      </c>
      <c r="G595" s="33">
        <f>(C595*1.06194690265)+(-5.9)</f>
        <v>11.091150442399998</v>
      </c>
      <c r="H595" s="34">
        <f>(C595*1.19469026548)+(0)</f>
        <v>19.11504424768</v>
      </c>
      <c r="I595" s="34">
        <f>(C595*1.16814159292)+(-2)</f>
        <v>16.690265486720001</v>
      </c>
      <c r="J595" s="34">
        <f>(C595*1.1238938053)+(-3.9)</f>
        <v>14.0823008848</v>
      </c>
      <c r="K595" s="34">
        <f>(C595*1.07964601769)+(-5.6)</f>
        <v>11.674336283040001</v>
      </c>
    </row>
    <row r="596" spans="1:11" s="21" customFormat="1" ht="19.95" customHeight="1" x14ac:dyDescent="0.25">
      <c r="A596" s="13" t="str">
        <f>"1010890"</f>
        <v>1010890</v>
      </c>
      <c r="B596" s="14" t="s">
        <v>944</v>
      </c>
      <c r="C596" s="13" t="str">
        <f>"+0.3"</f>
        <v>+0.3</v>
      </c>
      <c r="D596" s="32">
        <f>(C596*1.24778761061)+(0.4)</f>
        <v>0.77433628318300007</v>
      </c>
      <c r="E596" s="33">
        <f>(C596*1.16814159292)+(-1)</f>
        <v>-0.64955752212399998</v>
      </c>
      <c r="F596" s="33">
        <f>(C596*1.1238938053)+(-4.4)</f>
        <v>-4.0628318584100001</v>
      </c>
      <c r="G596" s="33">
        <f>(C596*1.06194690265)+(-5.9)</f>
        <v>-5.5814159292050007</v>
      </c>
      <c r="H596" s="34">
        <f>(C596*1.19469026548)+(0)</f>
        <v>0.35840707964399998</v>
      </c>
      <c r="I596" s="34">
        <f>(C596*1.16814159292)+(-2)</f>
        <v>-1.649557522124</v>
      </c>
      <c r="J596" s="34">
        <f>(C596*1.1238938053)+(-3.9)</f>
        <v>-3.5628318584100001</v>
      </c>
      <c r="K596" s="34">
        <f>(C596*1.07964601769)+(-5.6)</f>
        <v>-5.2761061946929999</v>
      </c>
    </row>
    <row r="597" spans="1:11" s="21" customFormat="1" ht="19.95" customHeight="1" x14ac:dyDescent="0.25">
      <c r="A597" s="13" t="str">
        <f>"24934"</f>
        <v>24934</v>
      </c>
      <c r="B597" s="14" t="s">
        <v>945</v>
      </c>
      <c r="C597" s="13" t="str">
        <f>"20.4"</f>
        <v>20.4</v>
      </c>
      <c r="D597" s="32">
        <f>(C597*1.24778761061)+(0.4)</f>
        <v>25.854867256443999</v>
      </c>
      <c r="E597" s="33">
        <f>(C597*1.16814159292)+(-1)</f>
        <v>22.830088495567999</v>
      </c>
      <c r="F597" s="33">
        <f>(C597*1.1238938053)+(-4.4)</f>
        <v>18.527433628120001</v>
      </c>
      <c r="G597" s="33">
        <f>(C597*1.06194690265)+(-5.9)</f>
        <v>15.763716814059995</v>
      </c>
      <c r="H597" s="34">
        <f>(C597*1.19469026548)+(0)</f>
        <v>24.371681415791997</v>
      </c>
      <c r="I597" s="34">
        <f>(C597*1.16814159292)+(-2)</f>
        <v>21.830088495567999</v>
      </c>
      <c r="J597" s="34">
        <f>(C597*1.1238938053)+(-3.9)</f>
        <v>19.027433628120001</v>
      </c>
      <c r="K597" s="34">
        <f>(C597*1.07964601769)+(-5.6)</f>
        <v>16.424778760876002</v>
      </c>
    </row>
    <row r="598" spans="1:11" s="21" customFormat="1" ht="19.95" customHeight="1" x14ac:dyDescent="0.25">
      <c r="A598" s="13" t="str">
        <f>"16140"</f>
        <v>16140</v>
      </c>
      <c r="B598" s="14" t="s">
        <v>946</v>
      </c>
      <c r="C598" s="13" t="str">
        <f>"21.8"</f>
        <v>21.8</v>
      </c>
      <c r="D598" s="32">
        <f>(C598*1.24778761061)+(0.4)</f>
        <v>27.601769911298003</v>
      </c>
      <c r="E598" s="33">
        <f>(C598*1.16814159292)+(-1)</f>
        <v>24.465486725656003</v>
      </c>
      <c r="F598" s="33">
        <f>(C598*1.1238938053)+(-4.4)</f>
        <v>20.100884955540003</v>
      </c>
      <c r="G598" s="33">
        <f>(C598*1.06194690265)+(-5.9)</f>
        <v>17.250442477770001</v>
      </c>
      <c r="H598" s="34">
        <f>(C598*1.19469026548)+(0)</f>
        <v>26.044247787464002</v>
      </c>
      <c r="I598" s="34">
        <f>(C598*1.16814159292)+(-2)</f>
        <v>23.465486725656003</v>
      </c>
      <c r="J598" s="34">
        <f>(C598*1.1238938053)+(-3.9)</f>
        <v>20.600884955540003</v>
      </c>
      <c r="K598" s="34">
        <f>(C598*1.07964601769)+(-5.6)</f>
        <v>17.936283185642004</v>
      </c>
    </row>
    <row r="599" spans="1:11" s="21" customFormat="1" ht="19.95" customHeight="1" x14ac:dyDescent="0.25">
      <c r="A599" s="13" t="str">
        <f>"1002361"</f>
        <v>1002361</v>
      </c>
      <c r="B599" s="14" t="s">
        <v>947</v>
      </c>
      <c r="C599" s="13" t="str">
        <f>"14.6"</f>
        <v>14.6</v>
      </c>
      <c r="D599" s="32">
        <f>(C599*1.24778761061)+(0.4)</f>
        <v>18.617699114905999</v>
      </c>
      <c r="E599" s="33">
        <f>(C599*1.16814159292)+(-1)</f>
        <v>16.054867256632001</v>
      </c>
      <c r="F599" s="33">
        <f>(C599*1.1238938053)+(-4.4)</f>
        <v>12.008849557380001</v>
      </c>
      <c r="G599" s="33">
        <f>(C599*1.06194690265)+(-5.9)</f>
        <v>9.6044247786899977</v>
      </c>
      <c r="H599" s="34">
        <f>(C599*1.19469026548)+(0)</f>
        <v>17.442477876007999</v>
      </c>
      <c r="I599" s="34">
        <f>(C599*1.16814159292)+(-2)</f>
        <v>15.054867256632001</v>
      </c>
      <c r="J599" s="34">
        <f>(C599*1.1238938053)+(-3.9)</f>
        <v>12.508849557380001</v>
      </c>
      <c r="K599" s="34">
        <f>(C599*1.07964601769)+(-5.6)</f>
        <v>10.162831858274</v>
      </c>
    </row>
    <row r="600" spans="1:11" s="21" customFormat="1" ht="19.95" customHeight="1" x14ac:dyDescent="0.25">
      <c r="A600" s="13" t="str">
        <f>"80048"</f>
        <v>80048</v>
      </c>
      <c r="B600" s="14" t="s">
        <v>948</v>
      </c>
      <c r="C600" s="13" t="str">
        <f>"2.1"</f>
        <v>2.1</v>
      </c>
      <c r="D600" s="32">
        <f>(C600*1.24778761061)+(0.4)</f>
        <v>3.0203539822810002</v>
      </c>
      <c r="E600" s="33">
        <f>(C600*1.16814159292)+(-1)</f>
        <v>1.4530973451320004</v>
      </c>
      <c r="F600" s="33">
        <f>(C600*1.1238938053)+(-4.4)</f>
        <v>-2.03982300887</v>
      </c>
      <c r="G600" s="33">
        <f>(C600*1.06194690265)+(-5.9)</f>
        <v>-3.6699115044350004</v>
      </c>
      <c r="H600" s="34">
        <f>(C600*1.19469026548)+(0)</f>
        <v>2.5088495575080003</v>
      </c>
      <c r="I600" s="34">
        <f>(C600*1.16814159292)+(-2)</f>
        <v>0.4530973451320004</v>
      </c>
      <c r="J600" s="34">
        <f>(C600*1.1238938053)+(-3.9)</f>
        <v>-1.5398230088699996</v>
      </c>
      <c r="K600" s="34">
        <f>(C600*1.07964601769)+(-5.6)</f>
        <v>-3.3327433628509997</v>
      </c>
    </row>
    <row r="601" spans="1:11" s="21" customFormat="1" ht="19.95" customHeight="1" x14ac:dyDescent="0.25">
      <c r="A601" s="13" t="str">
        <f>"1001067"</f>
        <v>1001067</v>
      </c>
      <c r="B601" s="14" t="s">
        <v>127</v>
      </c>
      <c r="C601" s="13" t="s">
        <v>76</v>
      </c>
      <c r="D601" s="32" t="s">
        <v>77</v>
      </c>
      <c r="E601" s="33" t="s">
        <v>77</v>
      </c>
      <c r="F601" s="33" t="s">
        <v>77</v>
      </c>
      <c r="G601" s="33" t="s">
        <v>77</v>
      </c>
      <c r="H601" s="34" t="s">
        <v>77</v>
      </c>
      <c r="I601" s="34" t="s">
        <v>77</v>
      </c>
      <c r="J601" s="34" t="s">
        <v>77</v>
      </c>
      <c r="K601" s="34" t="s">
        <v>77</v>
      </c>
    </row>
    <row r="602" spans="1:11" s="21" customFormat="1" ht="19.95" customHeight="1" x14ac:dyDescent="0.25">
      <c r="A602" s="13" t="str">
        <f>"1010274"</f>
        <v>1010274</v>
      </c>
      <c r="B602" s="14" t="s">
        <v>949</v>
      </c>
      <c r="C602" s="13" t="str">
        <f>"35.3"</f>
        <v>35.3</v>
      </c>
      <c r="D602" s="32">
        <f>(C602*1.24778761061)+(0.4)</f>
        <v>44.446902654532998</v>
      </c>
      <c r="E602" s="33">
        <f>(C602*1.16814159292)+(-1)</f>
        <v>40.235398230076001</v>
      </c>
      <c r="F602" s="33">
        <f>(C602*1.1238938053)+(-4.4)</f>
        <v>35.273451327090001</v>
      </c>
      <c r="G602" s="33">
        <f>(C602*1.06194690265)+(-5.9)</f>
        <v>31.586725663544996</v>
      </c>
      <c r="H602" s="34">
        <f>(C602*1.19469026548)+(0)</f>
        <v>42.172566371443999</v>
      </c>
      <c r="I602" s="34">
        <f>(C602*1.16814159292)+(-2)</f>
        <v>39.235398230076001</v>
      </c>
      <c r="J602" s="34">
        <f>(C602*1.1238938053)+(-3.9)</f>
        <v>35.773451327090001</v>
      </c>
      <c r="K602" s="34">
        <f>(C602*1.07964601769)+(-5.6)</f>
        <v>32.511504424456994</v>
      </c>
    </row>
    <row r="603" spans="1:11" s="21" customFormat="1" ht="19.95" customHeight="1" x14ac:dyDescent="0.25">
      <c r="A603" s="13" t="str">
        <f>"1009019"</f>
        <v>1009019</v>
      </c>
      <c r="B603" s="14" t="s">
        <v>950</v>
      </c>
      <c r="C603" s="13" t="str">
        <f>"30.8"</f>
        <v>30.8</v>
      </c>
      <c r="D603" s="32">
        <f>(C603*1.24778761061)+(0.4)</f>
        <v>38.831858406788001</v>
      </c>
      <c r="E603" s="33">
        <f>(C603*1.16814159292)+(-1)</f>
        <v>34.978761061936005</v>
      </c>
      <c r="F603" s="33">
        <f>(C603*1.1238938053)+(-4.4)</f>
        <v>30.215929203240002</v>
      </c>
      <c r="G603" s="33">
        <f>(C603*1.06194690265)+(-5.9)</f>
        <v>26.80796460162</v>
      </c>
      <c r="H603" s="34">
        <f>(C603*1.19469026548)+(0)</f>
        <v>36.796460176784002</v>
      </c>
      <c r="I603" s="34">
        <f>(C603*1.16814159292)+(-2)</f>
        <v>33.978761061936005</v>
      </c>
      <c r="J603" s="34">
        <f>(C603*1.1238938053)+(-3.9)</f>
        <v>30.715929203240002</v>
      </c>
      <c r="K603" s="34">
        <f>(C603*1.07964601769)+(-5.6)</f>
        <v>27.653097344852</v>
      </c>
    </row>
    <row r="604" spans="1:11" s="21" customFormat="1" ht="19.95" customHeight="1" x14ac:dyDescent="0.25">
      <c r="A604" s="13" t="str">
        <f>"72764"</f>
        <v>72764</v>
      </c>
      <c r="B604" s="14" t="s">
        <v>951</v>
      </c>
      <c r="C604" s="13" t="str">
        <f>"21.0"</f>
        <v>21.0</v>
      </c>
      <c r="D604" s="32">
        <f>(C604*1.24778761061)+(0.4)</f>
        <v>26.603539822809999</v>
      </c>
      <c r="E604" s="33">
        <f>(C604*1.16814159292)+(-1)</f>
        <v>23.530973451320001</v>
      </c>
      <c r="F604" s="33">
        <f>(C604*1.1238938053)+(-4.4)</f>
        <v>19.201769911299998</v>
      </c>
      <c r="G604" s="33">
        <f>(C604*1.06194690265)+(-5.9)</f>
        <v>16.40088495565</v>
      </c>
      <c r="H604" s="34">
        <f>(C604*1.19469026548)+(0)</f>
        <v>25.08849557508</v>
      </c>
      <c r="I604" s="34">
        <f>(C604*1.16814159292)+(-2)</f>
        <v>22.530973451320001</v>
      </c>
      <c r="J604" s="34">
        <f>(C604*1.1238938053)+(-3.9)</f>
        <v>19.701769911300001</v>
      </c>
      <c r="K604" s="34">
        <f>(C604*1.07964601769)+(-5.6)</f>
        <v>17.072566371489998</v>
      </c>
    </row>
    <row r="605" spans="1:11" s="21" customFormat="1" ht="19.95" customHeight="1" x14ac:dyDescent="0.25">
      <c r="A605" s="13" t="str">
        <f>"1009020"</f>
        <v>1009020</v>
      </c>
      <c r="B605" s="14" t="s">
        <v>952</v>
      </c>
      <c r="C605" s="13" t="str">
        <f>"34.8"</f>
        <v>34.8</v>
      </c>
      <c r="D605" s="32">
        <f>(C605*1.24778761061)+(0.4)</f>
        <v>43.823008849227996</v>
      </c>
      <c r="E605" s="33">
        <f>(C605*1.16814159292)+(-1)</f>
        <v>39.651327433615997</v>
      </c>
      <c r="F605" s="33">
        <f>(C605*1.1238938053)+(-4.4)</f>
        <v>34.711504424440001</v>
      </c>
      <c r="G605" s="33">
        <f>(C605*1.06194690265)+(-5.9)</f>
        <v>31.055752212219993</v>
      </c>
      <c r="H605" s="34">
        <f>(C605*1.19469026548)+(0)</f>
        <v>41.575221238703996</v>
      </c>
      <c r="I605" s="34">
        <f>(C605*1.16814159292)+(-2)</f>
        <v>38.651327433615997</v>
      </c>
      <c r="J605" s="34">
        <f>(C605*1.1238938053)+(-3.9)</f>
        <v>35.211504424440001</v>
      </c>
      <c r="K605" s="34">
        <f>(C605*1.07964601769)+(-5.6)</f>
        <v>31.971681415611997</v>
      </c>
    </row>
    <row r="606" spans="1:11" s="21" customFormat="1" ht="19.95" customHeight="1" x14ac:dyDescent="0.25">
      <c r="A606" s="13" t="str">
        <f>"45994"</f>
        <v>45994</v>
      </c>
      <c r="B606" s="14" t="s">
        <v>953</v>
      </c>
      <c r="C606" s="13" t="str">
        <f>"16.5"</f>
        <v>16.5</v>
      </c>
      <c r="D606" s="32">
        <f>(C606*1.24778761061)+(0.4)</f>
        <v>20.988495575064999</v>
      </c>
      <c r="E606" s="33">
        <f>(C606*1.16814159292)+(-1)</f>
        <v>18.274336283180002</v>
      </c>
      <c r="F606" s="33">
        <f>(C606*1.1238938053)+(-4.4)</f>
        <v>14.14424778745</v>
      </c>
      <c r="G606" s="33">
        <f>(C606*1.06194690265)+(-5.9)</f>
        <v>11.622123893724998</v>
      </c>
      <c r="H606" s="34">
        <f>(C606*1.19469026548)+(0)</f>
        <v>19.712389380419999</v>
      </c>
      <c r="I606" s="34">
        <f>(C606*1.16814159292)+(-2)</f>
        <v>17.274336283180002</v>
      </c>
      <c r="J606" s="34">
        <f>(C606*1.1238938053)+(-3.9)</f>
        <v>14.64424778745</v>
      </c>
      <c r="K606" s="34">
        <f>(C606*1.07964601769)+(-5.6)</f>
        <v>12.214159291885002</v>
      </c>
    </row>
    <row r="607" spans="1:11" s="21" customFormat="1" ht="19.95" customHeight="1" x14ac:dyDescent="0.25">
      <c r="A607" s="13" t="str">
        <f>"43799"</f>
        <v>43799</v>
      </c>
      <c r="B607" s="14" t="s">
        <v>954</v>
      </c>
      <c r="C607" s="13" t="str">
        <f>"14.5"</f>
        <v>14.5</v>
      </c>
      <c r="D607" s="32">
        <f>(C607*1.24778761061)+(0.4)</f>
        <v>18.492920353845001</v>
      </c>
      <c r="E607" s="33">
        <f>(C607*1.16814159292)+(-1)</f>
        <v>15.938053097340003</v>
      </c>
      <c r="F607" s="33">
        <f>(C607*1.1238938053)+(-4.4)</f>
        <v>11.896460176850001</v>
      </c>
      <c r="G607" s="33">
        <f>(C607*1.06194690265)+(-5.9)</f>
        <v>9.4982300884249984</v>
      </c>
      <c r="H607" s="34">
        <f>(C607*1.19469026548)+(0)</f>
        <v>17.323008849459999</v>
      </c>
      <c r="I607" s="34">
        <f>(C607*1.16814159292)+(-2)</f>
        <v>14.938053097340003</v>
      </c>
      <c r="J607" s="34">
        <f>(C607*1.1238938053)+(-3.9)</f>
        <v>12.396460176850001</v>
      </c>
      <c r="K607" s="34">
        <f>(C607*1.07964601769)+(-5.6)</f>
        <v>10.054867256505</v>
      </c>
    </row>
    <row r="608" spans="1:11" s="21" customFormat="1" ht="19.95" customHeight="1" x14ac:dyDescent="0.25">
      <c r="A608" s="13" t="str">
        <f>"19715"</f>
        <v>19715</v>
      </c>
      <c r="B608" s="14" t="s">
        <v>955</v>
      </c>
      <c r="C608" s="13" t="str">
        <f>"17.5"</f>
        <v>17.5</v>
      </c>
      <c r="D608" s="32">
        <f>(C608*1.24778761061)+(0.4)</f>
        <v>22.236283185674999</v>
      </c>
      <c r="E608" s="33">
        <f>(C608*1.16814159292)+(-1)</f>
        <v>19.4424778761</v>
      </c>
      <c r="F608" s="33">
        <f>(C608*1.1238938053)+(-4.4)</f>
        <v>15.26814159275</v>
      </c>
      <c r="G608" s="33">
        <f>(C608*1.06194690265)+(-5.9)</f>
        <v>12.684070796374998</v>
      </c>
      <c r="H608" s="34">
        <f>(C608*1.19469026548)+(0)</f>
        <v>20.907079645900001</v>
      </c>
      <c r="I608" s="34">
        <f>(C608*1.16814159292)+(-2)</f>
        <v>18.4424778761</v>
      </c>
      <c r="J608" s="34">
        <f>(C608*1.1238938053)+(-3.9)</f>
        <v>15.76814159275</v>
      </c>
      <c r="K608" s="34">
        <f>(C608*1.07964601769)+(-5.6)</f>
        <v>13.293805309575001</v>
      </c>
    </row>
    <row r="609" spans="1:11" s="21" customFormat="1" ht="19.95" customHeight="1" x14ac:dyDescent="0.25">
      <c r="A609" s="13" t="str">
        <f>"6161"</f>
        <v>6161</v>
      </c>
      <c r="B609" s="14" t="s">
        <v>956</v>
      </c>
      <c r="C609" s="13" t="str">
        <f>"13.5"</f>
        <v>13.5</v>
      </c>
      <c r="D609" s="32">
        <f>(C609*1.24778761061)+(0.4)</f>
        <v>17.245132743235001</v>
      </c>
      <c r="E609" s="33">
        <f>(C609*1.16814159292)+(-1)</f>
        <v>14.769911504420001</v>
      </c>
      <c r="F609" s="33">
        <f>(C609*1.1238938053)+(-4.4)</f>
        <v>10.772566371550001</v>
      </c>
      <c r="G609" s="33">
        <f>(C609*1.06194690265)+(-5.9)</f>
        <v>8.4362831857749985</v>
      </c>
      <c r="H609" s="34">
        <f>(C609*1.19469026548)+(0)</f>
        <v>16.128318583980001</v>
      </c>
      <c r="I609" s="34">
        <f>(C609*1.16814159292)+(-2)</f>
        <v>13.769911504420001</v>
      </c>
      <c r="J609" s="34">
        <f>(C609*1.1238938053)+(-3.9)</f>
        <v>11.272566371550001</v>
      </c>
      <c r="K609" s="34">
        <f>(C609*1.07964601769)+(-5.6)</f>
        <v>8.975221238815001</v>
      </c>
    </row>
    <row r="610" spans="1:11" s="21" customFormat="1" ht="19.95" customHeight="1" x14ac:dyDescent="0.25">
      <c r="A610" s="13" t="str">
        <f>"16154"</f>
        <v>16154</v>
      </c>
      <c r="B610" s="14" t="s">
        <v>957</v>
      </c>
      <c r="C610" s="13" t="str">
        <f>"13.6"</f>
        <v>13.6</v>
      </c>
      <c r="D610" s="32">
        <f>(C610*1.24778761061)+(0.4)</f>
        <v>17.369911504295999</v>
      </c>
      <c r="E610" s="33">
        <f>(C610*1.16814159292)+(-1)</f>
        <v>14.886725663712001</v>
      </c>
      <c r="F610" s="33">
        <f>(C610*1.1238938053)+(-4.4)</f>
        <v>10.88495575208</v>
      </c>
      <c r="G610" s="33">
        <f>(C610*1.06194690265)+(-5.9)</f>
        <v>8.5424778760399978</v>
      </c>
      <c r="H610" s="34">
        <f>(C610*1.19469026548)+(0)</f>
        <v>16.247787610528</v>
      </c>
      <c r="I610" s="34">
        <f>(C610*1.16814159292)+(-2)</f>
        <v>13.886725663712001</v>
      </c>
      <c r="J610" s="34">
        <f>(C610*1.1238938053)+(-3.9)</f>
        <v>11.38495575208</v>
      </c>
      <c r="K610" s="34">
        <f>(C610*1.07964601769)+(-5.6)</f>
        <v>9.0831858405840009</v>
      </c>
    </row>
    <row r="611" spans="1:11" s="21" customFormat="1" ht="19.95" customHeight="1" x14ac:dyDescent="0.25">
      <c r="A611" s="13" t="str">
        <f>"1007651"</f>
        <v>1007651</v>
      </c>
      <c r="B611" s="14" t="s">
        <v>958</v>
      </c>
      <c r="C611" s="13" t="str">
        <f>"21.0"</f>
        <v>21.0</v>
      </c>
      <c r="D611" s="32">
        <f>(C611*1.24778761061)+(0.4)</f>
        <v>26.603539822809999</v>
      </c>
      <c r="E611" s="33">
        <f>(C611*1.16814159292)+(-1)</f>
        <v>23.530973451320001</v>
      </c>
      <c r="F611" s="33">
        <f>(C611*1.1238938053)+(-4.4)</f>
        <v>19.201769911299998</v>
      </c>
      <c r="G611" s="33">
        <f>(C611*1.06194690265)+(-5.9)</f>
        <v>16.40088495565</v>
      </c>
      <c r="H611" s="34">
        <f>(C611*1.19469026548)+(0)</f>
        <v>25.08849557508</v>
      </c>
      <c r="I611" s="34">
        <f>(C611*1.16814159292)+(-2)</f>
        <v>22.530973451320001</v>
      </c>
      <c r="J611" s="34">
        <f>(C611*1.1238938053)+(-3.9)</f>
        <v>19.701769911300001</v>
      </c>
      <c r="K611" s="34">
        <f>(C611*1.07964601769)+(-5.6)</f>
        <v>17.072566371489998</v>
      </c>
    </row>
    <row r="612" spans="1:11" s="21" customFormat="1" ht="19.95" customHeight="1" x14ac:dyDescent="0.25">
      <c r="A612" s="13" t="str">
        <f>"1007652"</f>
        <v>1007652</v>
      </c>
      <c r="B612" s="14" t="s">
        <v>959</v>
      </c>
      <c r="C612" s="13" t="str">
        <f>"35.2"</f>
        <v>35.2</v>
      </c>
      <c r="D612" s="32">
        <f>(C612*1.24778761061)+(0.4)</f>
        <v>44.322123893472003</v>
      </c>
      <c r="E612" s="33">
        <f>(C612*1.16814159292)+(-1)</f>
        <v>40.118584070784003</v>
      </c>
      <c r="F612" s="33">
        <f>(C612*1.1238938053)+(-4.4)</f>
        <v>35.161061946560004</v>
      </c>
      <c r="G612" s="33">
        <f>(C612*1.06194690265)+(-5.9)</f>
        <v>31.480530973280004</v>
      </c>
      <c r="H612" s="34">
        <f>(C612*1.19469026548)+(0)</f>
        <v>42.053097344896003</v>
      </c>
      <c r="I612" s="34">
        <f>(C612*1.16814159292)+(-2)</f>
        <v>39.118584070784003</v>
      </c>
      <c r="J612" s="34">
        <f>(C612*1.1238938053)+(-3.9)</f>
        <v>35.661061946560004</v>
      </c>
      <c r="K612" s="34">
        <f>(C612*1.07964601769)+(-5.6)</f>
        <v>32.403539822688003</v>
      </c>
    </row>
    <row r="613" spans="1:11" s="21" customFormat="1" ht="19.95" customHeight="1" x14ac:dyDescent="0.25">
      <c r="A613" s="13" t="str">
        <f>"42829"</f>
        <v>42829</v>
      </c>
      <c r="B613" s="14" t="s">
        <v>960</v>
      </c>
      <c r="C613" s="13" t="str">
        <f>"15.3"</f>
        <v>15.3</v>
      </c>
      <c r="D613" s="32">
        <f>(C613*1.24778761061)+(0.4)</f>
        <v>19.491150442333002</v>
      </c>
      <c r="E613" s="33">
        <f>(C613*1.16814159292)+(-1)</f>
        <v>16.872566371676001</v>
      </c>
      <c r="F613" s="33">
        <f>(C613*1.1238938053)+(-4.4)</f>
        <v>12.795575221090003</v>
      </c>
      <c r="G613" s="33">
        <f>(C613*1.06194690265)+(-5.9)</f>
        <v>10.347787610545</v>
      </c>
      <c r="H613" s="34">
        <f>(C613*1.19469026548)+(0)</f>
        <v>18.278761061844001</v>
      </c>
      <c r="I613" s="34">
        <f>(C613*1.16814159292)+(-2)</f>
        <v>15.872566371676001</v>
      </c>
      <c r="J613" s="34">
        <f>(C613*1.1238938053)+(-3.9)</f>
        <v>13.295575221090003</v>
      </c>
      <c r="K613" s="34">
        <f>(C613*1.07964601769)+(-5.6)</f>
        <v>10.918584070657003</v>
      </c>
    </row>
    <row r="614" spans="1:11" s="21" customFormat="1" ht="19.95" customHeight="1" x14ac:dyDescent="0.25">
      <c r="A614" s="13" t="str">
        <f>"40092"</f>
        <v>40092</v>
      </c>
      <c r="B614" s="14" t="s">
        <v>961</v>
      </c>
      <c r="C614" s="13" t="str">
        <f>"22.5"</f>
        <v>22.5</v>
      </c>
      <c r="D614" s="32">
        <f>(C614*1.24778761061)+(0.4)</f>
        <v>28.475221238725002</v>
      </c>
      <c r="E614" s="33">
        <f>(C614*1.16814159292)+(-1)</f>
        <v>25.283185840700003</v>
      </c>
      <c r="F614" s="33">
        <f>(C614*1.1238938053)+(-4.4)</f>
        <v>20.887610619249998</v>
      </c>
      <c r="G614" s="33">
        <f>(C614*1.06194690265)+(-5.9)</f>
        <v>17.993805309624996</v>
      </c>
      <c r="H614" s="34">
        <f>(C614*1.19469026548)+(0)</f>
        <v>26.880530973300001</v>
      </c>
      <c r="I614" s="34">
        <f>(C614*1.16814159292)+(-2)</f>
        <v>24.283185840700003</v>
      </c>
      <c r="J614" s="34">
        <f>(C614*1.1238938053)+(-3.9)</f>
        <v>21.387610619250001</v>
      </c>
      <c r="K614" s="34">
        <f>(C614*1.07964601769)+(-5.6)</f>
        <v>18.692035398024998</v>
      </c>
    </row>
    <row r="615" spans="1:11" s="21" customFormat="1" ht="19.95" customHeight="1" x14ac:dyDescent="0.25">
      <c r="A615" s="13" t="str">
        <f>"46326"</f>
        <v>46326</v>
      </c>
      <c r="B615" s="14" t="s">
        <v>962</v>
      </c>
      <c r="C615" s="13" t="str">
        <f>"13.9"</f>
        <v>13.9</v>
      </c>
      <c r="D615" s="32">
        <f>(C615*1.24778761061)+(0.4)</f>
        <v>17.744247787479001</v>
      </c>
      <c r="E615" s="33">
        <f>(C615*1.16814159292)+(-1)</f>
        <v>15.237168141588</v>
      </c>
      <c r="F615" s="33">
        <f>(C615*1.1238938053)+(-4.4)</f>
        <v>11.22212389367</v>
      </c>
      <c r="G615" s="33">
        <f>(C615*1.06194690265)+(-5.9)</f>
        <v>8.8610619468349991</v>
      </c>
      <c r="H615" s="34">
        <f>(C615*1.19469026548)+(0)</f>
        <v>16.606194690172</v>
      </c>
      <c r="I615" s="34">
        <f>(C615*1.16814159292)+(-2)</f>
        <v>14.237168141588</v>
      </c>
      <c r="J615" s="34">
        <f>(C615*1.1238938053)+(-3.9)</f>
        <v>11.72212389367</v>
      </c>
      <c r="K615" s="34">
        <f>(C615*1.07964601769)+(-5.6)</f>
        <v>9.4070796458910007</v>
      </c>
    </row>
    <row r="616" spans="1:11" s="21" customFormat="1" ht="19.95" customHeight="1" x14ac:dyDescent="0.25">
      <c r="A616" s="13" t="str">
        <f>"46325"</f>
        <v>46325</v>
      </c>
      <c r="B616" s="14" t="s">
        <v>963</v>
      </c>
      <c r="C616" s="13" t="str">
        <f>"11.1"</f>
        <v>11.1</v>
      </c>
      <c r="D616" s="32">
        <f>(C616*1.24778761061)+(0.4)</f>
        <v>14.250442477771001</v>
      </c>
      <c r="E616" s="33">
        <f>(C616*1.16814159292)+(-1)</f>
        <v>11.966371681412001</v>
      </c>
      <c r="F616" s="33">
        <f>(C616*1.1238938053)+(-4.4)</f>
        <v>8.0752212388300002</v>
      </c>
      <c r="G616" s="33">
        <f>(C616*1.06194690265)+(-5.9)</f>
        <v>5.887610619414998</v>
      </c>
      <c r="H616" s="34">
        <f>(C616*1.19469026548)+(0)</f>
        <v>13.261061946827999</v>
      </c>
      <c r="I616" s="34">
        <f>(C616*1.16814159292)+(-2)</f>
        <v>10.966371681412001</v>
      </c>
      <c r="J616" s="34">
        <f>(C616*1.1238938053)+(-3.9)</f>
        <v>8.5752212388300002</v>
      </c>
      <c r="K616" s="34">
        <f>(C616*1.07964601769)+(-5.6)</f>
        <v>6.3840707963589995</v>
      </c>
    </row>
    <row r="617" spans="1:11" s="21" customFormat="1" ht="19.95" customHeight="1" x14ac:dyDescent="0.25">
      <c r="A617" s="13" t="str">
        <f>"64152"</f>
        <v>64152</v>
      </c>
      <c r="B617" s="14" t="s">
        <v>964</v>
      </c>
      <c r="C617" s="13" t="str">
        <f>"23.4"</f>
        <v>23.4</v>
      </c>
      <c r="D617" s="32">
        <f>(C617*1.24778761061)+(0.4)</f>
        <v>29.598230088274001</v>
      </c>
      <c r="E617" s="33">
        <f>(C617*1.16814159292)+(-1)</f>
        <v>26.334513274328</v>
      </c>
      <c r="F617" s="33">
        <f>(C617*1.1238938053)+(-4.4)</f>
        <v>21.89911504402</v>
      </c>
      <c r="G617" s="33">
        <f>(C617*1.06194690265)+(-5.9)</f>
        <v>18.949557522009997</v>
      </c>
      <c r="H617" s="34">
        <f>(C617*1.19469026548)+(0)</f>
        <v>27.955752212231999</v>
      </c>
      <c r="I617" s="34">
        <f>(C617*1.16814159292)+(-2)</f>
        <v>25.334513274328</v>
      </c>
      <c r="J617" s="34">
        <f>(C617*1.1238938053)+(-3.9)</f>
        <v>22.39911504402</v>
      </c>
      <c r="K617" s="34">
        <f>(C617*1.07964601769)+(-5.6)</f>
        <v>19.663716813945996</v>
      </c>
    </row>
    <row r="618" spans="1:11" s="21" customFormat="1" ht="19.95" customHeight="1" x14ac:dyDescent="0.25">
      <c r="A618" s="13" t="str">
        <f>"1012993"</f>
        <v>1012993</v>
      </c>
      <c r="B618" s="14" t="s">
        <v>965</v>
      </c>
      <c r="C618" s="13" t="str">
        <f>"+3.7"</f>
        <v>+3.7</v>
      </c>
      <c r="D618" s="32">
        <f>(C618*1.24778761061)+(0.4)</f>
        <v>5.0168141592570006</v>
      </c>
      <c r="E618" s="33">
        <f>(C618*1.16814159292)+(-1)</f>
        <v>3.3221238938040001</v>
      </c>
      <c r="F618" s="33">
        <f>(C618*1.1238938053)+(-4.4)</f>
        <v>-0.24159292038999958</v>
      </c>
      <c r="G618" s="33">
        <f>(C618*1.06194690265)+(-5.9)</f>
        <v>-1.9707964601950003</v>
      </c>
      <c r="H618" s="34">
        <f>(C618*1.19469026548)+(0)</f>
        <v>4.4203539822760005</v>
      </c>
      <c r="I618" s="34">
        <f>(C618*1.16814159292)+(-2)</f>
        <v>2.3221238938040001</v>
      </c>
      <c r="J618" s="34">
        <f>(C618*1.1238938053)+(-3.9)</f>
        <v>0.25840707961000087</v>
      </c>
      <c r="K618" s="34">
        <f>(C618*1.07964601769)+(-5.6)</f>
        <v>-1.6053097345469993</v>
      </c>
    </row>
    <row r="619" spans="1:11" s="21" customFormat="1" ht="19.95" customHeight="1" x14ac:dyDescent="0.25">
      <c r="A619" s="13" t="str">
        <f>"49286"</f>
        <v>49286</v>
      </c>
      <c r="B619" s="14" t="s">
        <v>966</v>
      </c>
      <c r="C619" s="13" t="str">
        <f>"17.4"</f>
        <v>17.4</v>
      </c>
      <c r="D619" s="32">
        <f>(C619*1.24778761061)+(0.4)</f>
        <v>22.111504424613997</v>
      </c>
      <c r="E619" s="33">
        <f>(C619*1.16814159292)+(-1)</f>
        <v>19.325663716807998</v>
      </c>
      <c r="F619" s="33">
        <f>(C619*1.1238938053)+(-4.4)</f>
        <v>15.155752212219999</v>
      </c>
      <c r="G619" s="33">
        <f>(C619*1.06194690265)+(-5.9)</f>
        <v>12.577876106109995</v>
      </c>
      <c r="H619" s="34">
        <f>(C619*1.19469026548)+(0)</f>
        <v>20.787610619351998</v>
      </c>
      <c r="I619" s="34">
        <f>(C619*1.16814159292)+(-2)</f>
        <v>18.325663716807998</v>
      </c>
      <c r="J619" s="34">
        <f>(C619*1.1238938053)+(-3.9)</f>
        <v>15.655752212219999</v>
      </c>
      <c r="K619" s="34">
        <f>(C619*1.07964601769)+(-5.6)</f>
        <v>13.185840707805999</v>
      </c>
    </row>
    <row r="620" spans="1:11" s="21" customFormat="1" ht="19.95" customHeight="1" x14ac:dyDescent="0.25">
      <c r="A620" s="13" t="str">
        <f>"68768"</f>
        <v>68768</v>
      </c>
      <c r="B620" s="14" t="s">
        <v>967</v>
      </c>
      <c r="C620" s="13" t="str">
        <f>"17.9"</f>
        <v>17.9</v>
      </c>
      <c r="D620" s="32">
        <f>(C620*1.24778761061)+(0.4)</f>
        <v>22.735398229918999</v>
      </c>
      <c r="E620" s="33">
        <f>(C620*1.16814159292)+(-1)</f>
        <v>19.909734513267999</v>
      </c>
      <c r="F620" s="33">
        <f>(C620*1.1238938053)+(-4.4)</f>
        <v>15.717699114869999</v>
      </c>
      <c r="G620" s="33">
        <f>(C620*1.06194690265)+(-5.9)</f>
        <v>13.108849557434995</v>
      </c>
      <c r="H620" s="34">
        <f>(C620*1.19469026548)+(0)</f>
        <v>21.384955752091997</v>
      </c>
      <c r="I620" s="34">
        <f>(C620*1.16814159292)+(-2)</f>
        <v>18.909734513267999</v>
      </c>
      <c r="J620" s="34">
        <f>(C620*1.1238938053)+(-3.9)</f>
        <v>16.217699114870001</v>
      </c>
      <c r="K620" s="34">
        <f>(C620*1.07964601769)+(-5.6)</f>
        <v>13.725663716651001</v>
      </c>
    </row>
    <row r="621" spans="1:11" s="21" customFormat="1" ht="19.95" customHeight="1" x14ac:dyDescent="0.25">
      <c r="A621" s="13" t="str">
        <f>"16167"</f>
        <v>16167</v>
      </c>
      <c r="B621" s="14" t="s">
        <v>968</v>
      </c>
      <c r="C621" s="13" t="str">
        <f>"20.1"</f>
        <v>20.1</v>
      </c>
      <c r="D621" s="32">
        <f>(C621*1.24778761061)+(0.4)</f>
        <v>25.480530973261001</v>
      </c>
      <c r="E621" s="33">
        <f>(C621*1.16814159292)+(-1)</f>
        <v>22.479646017692005</v>
      </c>
      <c r="F621" s="33">
        <f>(C621*1.1238938053)+(-4.4)</f>
        <v>18.190265486530002</v>
      </c>
      <c r="G621" s="33">
        <f>(C621*1.06194690265)+(-5.9)</f>
        <v>15.445132743265001</v>
      </c>
      <c r="H621" s="34">
        <f>(C621*1.19469026548)+(0)</f>
        <v>24.013274336148001</v>
      </c>
      <c r="I621" s="34">
        <f>(C621*1.16814159292)+(-2)</f>
        <v>21.479646017692005</v>
      </c>
      <c r="J621" s="34">
        <f>(C621*1.1238938053)+(-3.9)</f>
        <v>18.690265486530006</v>
      </c>
      <c r="K621" s="34">
        <f>(C621*1.07964601769)+(-5.6)</f>
        <v>16.100884955569001</v>
      </c>
    </row>
    <row r="622" spans="1:11" s="21" customFormat="1" ht="19.95" customHeight="1" x14ac:dyDescent="0.25">
      <c r="A622" s="13" t="str">
        <f>"1003157"</f>
        <v>1003157</v>
      </c>
      <c r="B622" s="14" t="s">
        <v>969</v>
      </c>
      <c r="C622" s="13" t="str">
        <f>"13.3"</f>
        <v>13.3</v>
      </c>
      <c r="D622" s="32">
        <f>(C622*1.24778761061)+(0.4)</f>
        <v>16.995575221113</v>
      </c>
      <c r="E622" s="33">
        <f>(C622*1.16814159292)+(-1)</f>
        <v>14.536283185836002</v>
      </c>
      <c r="F622" s="33">
        <f>(C622*1.1238938053)+(-4.4)</f>
        <v>10.547787610490001</v>
      </c>
      <c r="G622" s="33">
        <f>(C622*1.06194690265)+(-5.9)</f>
        <v>8.2238938052449999</v>
      </c>
      <c r="H622" s="34">
        <f>(C622*1.19469026548)+(0)</f>
        <v>15.889380530884001</v>
      </c>
      <c r="I622" s="34">
        <f>(C622*1.16814159292)+(-2)</f>
        <v>13.536283185836002</v>
      </c>
      <c r="J622" s="34">
        <f>(C622*1.1238938053)+(-3.9)</f>
        <v>11.047787610490001</v>
      </c>
      <c r="K622" s="34">
        <f>(C622*1.07964601769)+(-5.6)</f>
        <v>8.7592920352770012</v>
      </c>
    </row>
    <row r="623" spans="1:11" s="21" customFormat="1" ht="19.95" customHeight="1" x14ac:dyDescent="0.25">
      <c r="A623" s="13" t="str">
        <f>"50317"</f>
        <v>50317</v>
      </c>
      <c r="B623" s="14" t="s">
        <v>970</v>
      </c>
      <c r="C623" s="13" t="str">
        <f>"17.6"</f>
        <v>17.6</v>
      </c>
      <c r="D623" s="32">
        <f>(C623*1.24778761061)+(0.4)</f>
        <v>22.361061946736001</v>
      </c>
      <c r="E623" s="33">
        <f>(C623*1.16814159292)+(-1)</f>
        <v>19.559292035392001</v>
      </c>
      <c r="F623" s="33">
        <f>(C623*1.1238938053)+(-4.4)</f>
        <v>15.380530973280001</v>
      </c>
      <c r="G623" s="33">
        <f>(C623*1.06194690265)+(-5.9)</f>
        <v>12.790265486640001</v>
      </c>
      <c r="H623" s="34">
        <f>(C623*1.19469026548)+(0)</f>
        <v>21.026548672448001</v>
      </c>
      <c r="I623" s="34">
        <f>(C623*1.16814159292)+(-2)</f>
        <v>18.559292035392001</v>
      </c>
      <c r="J623" s="34">
        <f>(C623*1.1238938053)+(-3.9)</f>
        <v>15.880530973280001</v>
      </c>
      <c r="K623" s="34">
        <f>(C623*1.07964601769)+(-5.6)</f>
        <v>13.401769911344003</v>
      </c>
    </row>
    <row r="624" spans="1:11" s="21" customFormat="1" ht="19.95" customHeight="1" x14ac:dyDescent="0.25">
      <c r="A624" s="13" t="str">
        <f>"1000413"</f>
        <v>1000413</v>
      </c>
      <c r="B624" s="14" t="s">
        <v>971</v>
      </c>
      <c r="C624" s="13" t="str">
        <f>"26.8"</f>
        <v>26.8</v>
      </c>
      <c r="D624" s="32">
        <f>(C624*1.24778761061)+(0.4)</f>
        <v>33.840707964347999</v>
      </c>
      <c r="E624" s="33">
        <f>(C624*1.16814159292)+(-1)</f>
        <v>30.306194690256003</v>
      </c>
      <c r="F624" s="33">
        <f>(C624*1.1238938053)+(-4.4)</f>
        <v>25.720353982040002</v>
      </c>
      <c r="G624" s="33">
        <f>(C624*1.06194690265)+(-5.9)</f>
        <v>22.560176991020001</v>
      </c>
      <c r="H624" s="34">
        <f>(C624*1.19469026548)+(0)</f>
        <v>32.017699114864001</v>
      </c>
      <c r="I624" s="34">
        <f>(C624*1.16814159292)+(-2)</f>
        <v>29.306194690256003</v>
      </c>
      <c r="J624" s="34">
        <f>(C624*1.1238938053)+(-3.9)</f>
        <v>26.220353982040002</v>
      </c>
      <c r="K624" s="34">
        <f>(C624*1.07964601769)+(-5.6)</f>
        <v>23.334513274092004</v>
      </c>
    </row>
    <row r="625" spans="1:11" s="21" customFormat="1" ht="19.95" customHeight="1" x14ac:dyDescent="0.25">
      <c r="A625" s="13" t="str">
        <f>"48927"</f>
        <v>48927</v>
      </c>
      <c r="B625" s="14" t="s">
        <v>972</v>
      </c>
      <c r="C625" s="13" t="str">
        <f>"18.1"</f>
        <v>18.1</v>
      </c>
      <c r="D625" s="32">
        <f>(C625*1.24778761061)+(0.4)</f>
        <v>22.984955752041003</v>
      </c>
      <c r="E625" s="33">
        <f>(C625*1.16814159292)+(-1)</f>
        <v>20.143362831852002</v>
      </c>
      <c r="F625" s="33">
        <f>(C625*1.1238938053)+(-4.4)</f>
        <v>15.942477875930001</v>
      </c>
      <c r="G625" s="33">
        <f>(C625*1.06194690265)+(-5.9)</f>
        <v>13.321238937965001</v>
      </c>
      <c r="H625" s="34">
        <f>(C625*1.19469026548)+(0)</f>
        <v>21.623893805188001</v>
      </c>
      <c r="I625" s="34">
        <f>(C625*1.16814159292)+(-2)</f>
        <v>19.143362831852002</v>
      </c>
      <c r="J625" s="34">
        <f>(C625*1.1238938053)+(-3.9)</f>
        <v>16.442477875930003</v>
      </c>
      <c r="K625" s="34">
        <f>(C625*1.07964601769)+(-5.6)</f>
        <v>13.941592920189001</v>
      </c>
    </row>
    <row r="626" spans="1:11" s="21" customFormat="1" ht="19.95" customHeight="1" x14ac:dyDescent="0.25">
      <c r="A626" s="13" t="str">
        <f>"1003523"</f>
        <v>1003523</v>
      </c>
      <c r="B626" s="14" t="s">
        <v>973</v>
      </c>
      <c r="C626" s="13" t="str">
        <f>"24.3"</f>
        <v>24.3</v>
      </c>
      <c r="D626" s="32">
        <f>(C626*1.24778761061)+(0.4)</f>
        <v>30.721238937823003</v>
      </c>
      <c r="E626" s="33">
        <f>(C626*1.16814159292)+(-1)</f>
        <v>27.385840707956003</v>
      </c>
      <c r="F626" s="33">
        <f>(C626*1.1238938053)+(-4.4)</f>
        <v>22.910619468790003</v>
      </c>
      <c r="G626" s="33">
        <f>(C626*1.06194690265)+(-5.9)</f>
        <v>19.905309734394997</v>
      </c>
      <c r="H626" s="34">
        <f>(C626*1.19469026548)+(0)</f>
        <v>29.030973451164002</v>
      </c>
      <c r="I626" s="34">
        <f>(C626*1.16814159292)+(-2)</f>
        <v>26.385840707956003</v>
      </c>
      <c r="J626" s="34">
        <f>(C626*1.1238938053)+(-3.9)</f>
        <v>23.410619468790003</v>
      </c>
      <c r="K626" s="34">
        <f>(C626*1.07964601769)+(-5.6)</f>
        <v>20.635398229867</v>
      </c>
    </row>
    <row r="627" spans="1:11" s="21" customFormat="1" ht="19.95" customHeight="1" x14ac:dyDescent="0.25">
      <c r="A627" s="13" t="str">
        <f>"16170"</f>
        <v>16170</v>
      </c>
      <c r="B627" s="14" t="s">
        <v>974</v>
      </c>
      <c r="C627" s="13" t="str">
        <f>"15.2"</f>
        <v>15.2</v>
      </c>
      <c r="D627" s="32">
        <f>(C627*1.24778761061)+(0.4)</f>
        <v>19.366371681272</v>
      </c>
      <c r="E627" s="33">
        <f>(C627*1.16814159292)+(-1)</f>
        <v>16.755752212383999</v>
      </c>
      <c r="F627" s="33">
        <f>(C627*1.1238938053)+(-4.4)</f>
        <v>12.683185840559998</v>
      </c>
      <c r="G627" s="33">
        <f>(C627*1.06194690265)+(-5.9)</f>
        <v>10.241592920279997</v>
      </c>
      <c r="H627" s="34">
        <f>(C627*1.19469026548)+(0)</f>
        <v>18.159292035295998</v>
      </c>
      <c r="I627" s="34">
        <f>(C627*1.16814159292)+(-2)</f>
        <v>15.755752212383999</v>
      </c>
      <c r="J627" s="34">
        <f>(C627*1.1238938053)+(-3.9)</f>
        <v>13.183185840559998</v>
      </c>
      <c r="K627" s="34">
        <f>(C627*1.07964601769)+(-5.6)</f>
        <v>10.810619468888001</v>
      </c>
    </row>
    <row r="628" spans="1:11" s="21" customFormat="1" ht="19.95" customHeight="1" x14ac:dyDescent="0.25">
      <c r="A628" s="13" t="str">
        <f>"80046"</f>
        <v>80046</v>
      </c>
      <c r="B628" s="14" t="s">
        <v>975</v>
      </c>
      <c r="C628" s="13" t="str">
        <f>"18.7"</f>
        <v>18.7</v>
      </c>
      <c r="D628" s="32">
        <f>(C628*1.24778761061)+(0.4)</f>
        <v>23.733628318407</v>
      </c>
      <c r="E628" s="33">
        <f>(C628*1.16814159292)+(-1)</f>
        <v>20.844247787604001</v>
      </c>
      <c r="F628" s="33">
        <f>(C628*1.1238938053)+(-4.4)</f>
        <v>16.61681415911</v>
      </c>
      <c r="G628" s="33">
        <f>(C628*1.06194690265)+(-5.9)</f>
        <v>13.958407079554997</v>
      </c>
      <c r="H628" s="34">
        <f>(C628*1.19469026548)+(0)</f>
        <v>22.340707964476</v>
      </c>
      <c r="I628" s="34">
        <f>(C628*1.16814159292)+(-2)</f>
        <v>19.844247787604001</v>
      </c>
      <c r="J628" s="34">
        <f>(C628*1.1238938053)+(-3.9)</f>
        <v>17.116814159110003</v>
      </c>
      <c r="K628" s="34">
        <f>(C628*1.07964601769)+(-5.6)</f>
        <v>14.589380530803</v>
      </c>
    </row>
    <row r="629" spans="1:11" s="21" customFormat="1" ht="19.95" customHeight="1" x14ac:dyDescent="0.25">
      <c r="A629" s="13" t="str">
        <f>"16171"</f>
        <v>16171</v>
      </c>
      <c r="B629" s="14" t="s">
        <v>976</v>
      </c>
      <c r="C629" s="13" t="str">
        <f>"13.7"</f>
        <v>13.7</v>
      </c>
      <c r="D629" s="32">
        <f>(C629*1.24778761061)+(0.4)</f>
        <v>17.494690265357001</v>
      </c>
      <c r="E629" s="33">
        <f>(C629*1.16814159292)+(-1)</f>
        <v>15.003539823004001</v>
      </c>
      <c r="F629" s="33">
        <f>(C629*1.1238938053)+(-4.4)</f>
        <v>10.997345132609999</v>
      </c>
      <c r="G629" s="33">
        <f>(C629*1.06194690265)+(-5.9)</f>
        <v>8.648672566304997</v>
      </c>
      <c r="H629" s="34">
        <f>(C629*1.19469026548)+(0)</f>
        <v>16.367256637076</v>
      </c>
      <c r="I629" s="34">
        <f>(C629*1.16814159292)+(-2)</f>
        <v>14.003539823004001</v>
      </c>
      <c r="J629" s="34">
        <f>(C629*1.1238938053)+(-3.9)</f>
        <v>11.497345132609999</v>
      </c>
      <c r="K629" s="34">
        <f>(C629*1.07964601769)+(-5.6)</f>
        <v>9.1911504423529991</v>
      </c>
    </row>
    <row r="630" spans="1:11" s="21" customFormat="1" ht="19.95" customHeight="1" x14ac:dyDescent="0.25">
      <c r="A630" s="13" t="str">
        <f>"1004021"</f>
        <v>1004021</v>
      </c>
      <c r="B630" s="14" t="s">
        <v>977</v>
      </c>
      <c r="C630" s="13" t="str">
        <f>"19.6"</f>
        <v>19.6</v>
      </c>
      <c r="D630" s="32">
        <f>(C630*1.24778761061)+(0.4)</f>
        <v>24.856637167956002</v>
      </c>
      <c r="E630" s="33">
        <f>(C630*1.16814159292)+(-1)</f>
        <v>21.895575221232004</v>
      </c>
      <c r="F630" s="33">
        <f>(C630*1.1238938053)+(-4.4)</f>
        <v>17.628318583880002</v>
      </c>
      <c r="G630" s="33">
        <f>(C630*1.06194690265)+(-5.9)</f>
        <v>14.914159291940001</v>
      </c>
      <c r="H630" s="34">
        <f>(C630*1.19469026548)+(0)</f>
        <v>23.415929203408002</v>
      </c>
      <c r="I630" s="34">
        <f>(C630*1.16814159292)+(-2)</f>
        <v>20.895575221232004</v>
      </c>
      <c r="J630" s="34">
        <f>(C630*1.1238938053)+(-3.9)</f>
        <v>18.128318583880002</v>
      </c>
      <c r="K630" s="34">
        <f>(C630*1.07964601769)+(-5.6)</f>
        <v>15.561061946724001</v>
      </c>
    </row>
    <row r="631" spans="1:11" s="21" customFormat="1" ht="19.95" customHeight="1" x14ac:dyDescent="0.25">
      <c r="A631" s="13" t="str">
        <f>"9278"</f>
        <v>9278</v>
      </c>
      <c r="B631" s="14" t="s">
        <v>978</v>
      </c>
      <c r="C631" s="13" t="str">
        <f>"20.1"</f>
        <v>20.1</v>
      </c>
      <c r="D631" s="32">
        <f>(C631*1.24778761061)+(0.4)</f>
        <v>25.480530973261001</v>
      </c>
      <c r="E631" s="33">
        <f>(C631*1.16814159292)+(-1)</f>
        <v>22.479646017692005</v>
      </c>
      <c r="F631" s="33">
        <f>(C631*1.1238938053)+(-4.4)</f>
        <v>18.190265486530002</v>
      </c>
      <c r="G631" s="33">
        <f>(C631*1.06194690265)+(-5.9)</f>
        <v>15.445132743265001</v>
      </c>
      <c r="H631" s="34">
        <f>(C631*1.19469026548)+(0)</f>
        <v>24.013274336148001</v>
      </c>
      <c r="I631" s="34">
        <f>(C631*1.16814159292)+(-2)</f>
        <v>21.479646017692005</v>
      </c>
      <c r="J631" s="34">
        <f>(C631*1.1238938053)+(-3.9)</f>
        <v>18.690265486530006</v>
      </c>
      <c r="K631" s="34">
        <f>(C631*1.07964601769)+(-5.6)</f>
        <v>16.100884955569001</v>
      </c>
    </row>
    <row r="632" spans="1:11" s="21" customFormat="1" ht="19.95" customHeight="1" x14ac:dyDescent="0.25">
      <c r="A632" s="13" t="str">
        <f>"43514"</f>
        <v>43514</v>
      </c>
      <c r="B632" s="14" t="s">
        <v>979</v>
      </c>
      <c r="C632" s="13" t="str">
        <f>"25.3"</f>
        <v>25.3</v>
      </c>
      <c r="D632" s="32">
        <f>(C632*1.24778761061)+(0.4)</f>
        <v>31.969026548433003</v>
      </c>
      <c r="E632" s="33">
        <f>(C632*1.16814159292)+(-1)</f>
        <v>28.553982300876005</v>
      </c>
      <c r="F632" s="33">
        <f>(C632*1.1238938053)+(-4.4)</f>
        <v>24.034513274090003</v>
      </c>
      <c r="G632" s="33">
        <f>(C632*1.06194690265)+(-5.9)</f>
        <v>20.967256637044997</v>
      </c>
      <c r="H632" s="34">
        <f>(C632*1.19469026548)+(0)</f>
        <v>30.225663716644</v>
      </c>
      <c r="I632" s="34">
        <f>(C632*1.16814159292)+(-2)</f>
        <v>27.553982300876005</v>
      </c>
      <c r="J632" s="34">
        <f>(C632*1.1238938053)+(-3.9)</f>
        <v>24.534513274090003</v>
      </c>
      <c r="K632" s="34">
        <f>(C632*1.07964601769)+(-5.6)</f>
        <v>21.715044247557003</v>
      </c>
    </row>
    <row r="633" spans="1:11" s="21" customFormat="1" ht="19.95" customHeight="1" x14ac:dyDescent="0.25">
      <c r="A633" s="13" t="str">
        <f>"49211"</f>
        <v>49211</v>
      </c>
      <c r="B633" s="14" t="s">
        <v>980</v>
      </c>
      <c r="C633" s="13" t="str">
        <f>"17.8"</f>
        <v>17.8</v>
      </c>
      <c r="D633" s="32">
        <f>(C633*1.24778761061)+(0.4)</f>
        <v>22.610619468858001</v>
      </c>
      <c r="E633" s="33">
        <f>(C633*1.16814159292)+(-1)</f>
        <v>19.792920353976001</v>
      </c>
      <c r="F633" s="33">
        <f>(C633*1.1238938053)+(-4.4)</f>
        <v>15.605309734340002</v>
      </c>
      <c r="G633" s="33">
        <f>(C633*1.06194690265)+(-5.9)</f>
        <v>13.00265486717</v>
      </c>
      <c r="H633" s="34">
        <f>(C633*1.19469026548)+(0)</f>
        <v>21.265486725544001</v>
      </c>
      <c r="I633" s="34">
        <f>(C633*1.16814159292)+(-2)</f>
        <v>18.792920353976001</v>
      </c>
      <c r="J633" s="34">
        <f>(C633*1.1238938053)+(-3.9)</f>
        <v>16.105309734340004</v>
      </c>
      <c r="K633" s="34">
        <f>(C633*1.07964601769)+(-5.6)</f>
        <v>13.617699114882003</v>
      </c>
    </row>
    <row r="634" spans="1:11" s="21" customFormat="1" ht="19.95" customHeight="1" x14ac:dyDescent="0.25">
      <c r="A634" s="13" t="str">
        <f>"16173"</f>
        <v>16173</v>
      </c>
      <c r="B634" s="14" t="s">
        <v>981</v>
      </c>
      <c r="C634" s="13" t="str">
        <f>"19.6"</f>
        <v>19.6</v>
      </c>
      <c r="D634" s="32">
        <f>(C634*1.24778761061)+(0.4)</f>
        <v>24.856637167956002</v>
      </c>
      <c r="E634" s="33">
        <f>(C634*1.16814159292)+(-1)</f>
        <v>21.895575221232004</v>
      </c>
      <c r="F634" s="33">
        <f>(C634*1.1238938053)+(-4.4)</f>
        <v>17.628318583880002</v>
      </c>
      <c r="G634" s="33">
        <f>(C634*1.06194690265)+(-5.9)</f>
        <v>14.914159291940001</v>
      </c>
      <c r="H634" s="34">
        <f>(C634*1.19469026548)+(0)</f>
        <v>23.415929203408002</v>
      </c>
      <c r="I634" s="34">
        <f>(C634*1.16814159292)+(-2)</f>
        <v>20.895575221232004</v>
      </c>
      <c r="J634" s="34">
        <f>(C634*1.1238938053)+(-3.9)</f>
        <v>18.128318583880002</v>
      </c>
      <c r="K634" s="34">
        <f>(C634*1.07964601769)+(-5.6)</f>
        <v>15.561061946724001</v>
      </c>
    </row>
    <row r="635" spans="1:11" s="21" customFormat="1" ht="19.95" customHeight="1" x14ac:dyDescent="0.25">
      <c r="A635" s="13" t="str">
        <f>"1009567"</f>
        <v>1009567</v>
      </c>
      <c r="B635" s="14" t="s">
        <v>982</v>
      </c>
      <c r="C635" s="13" t="str">
        <f>"27.5"</f>
        <v>27.5</v>
      </c>
      <c r="D635" s="32">
        <f>(C635*1.24778761061)+(0.4)</f>
        <v>34.714159291775005</v>
      </c>
      <c r="E635" s="33">
        <f>(C635*1.16814159292)+(-1)</f>
        <v>31.1238938053</v>
      </c>
      <c r="F635" s="33">
        <f>(C635*1.1238938053)+(-4.4)</f>
        <v>26.507079645750004</v>
      </c>
      <c r="G635" s="33">
        <f>(C635*1.06194690265)+(-5.9)</f>
        <v>23.303539822874995</v>
      </c>
      <c r="H635" s="34">
        <f>(C635*1.19469026548)+(0)</f>
        <v>32.853982300700004</v>
      </c>
      <c r="I635" s="34">
        <f>(C635*1.16814159292)+(-2)</f>
        <v>30.1238938053</v>
      </c>
      <c r="J635" s="34">
        <f>(C635*1.1238938053)+(-3.9)</f>
        <v>27.007079645750004</v>
      </c>
      <c r="K635" s="34">
        <f>(C635*1.07964601769)+(-5.6)</f>
        <v>24.090265486474998</v>
      </c>
    </row>
    <row r="636" spans="1:11" s="21" customFormat="1" ht="19.95" customHeight="1" x14ac:dyDescent="0.25">
      <c r="A636" s="13" t="str">
        <f>"71210"</f>
        <v>71210</v>
      </c>
      <c r="B636" s="14" t="s">
        <v>983</v>
      </c>
      <c r="C636" s="13" t="str">
        <f>"17.1"</f>
        <v>17.1</v>
      </c>
      <c r="D636" s="32">
        <f>(C636*1.24778761061)+(0.4)</f>
        <v>21.737168141431003</v>
      </c>
      <c r="E636" s="33">
        <f>(C636*1.16814159292)+(-1)</f>
        <v>18.975221238932004</v>
      </c>
      <c r="F636" s="33">
        <f>(C636*1.1238938053)+(-4.4)</f>
        <v>14.818584070630001</v>
      </c>
      <c r="G636" s="33">
        <f>(C636*1.06194690265)+(-5.9)</f>
        <v>12.259292035315001</v>
      </c>
      <c r="H636" s="34">
        <f>(C636*1.19469026548)+(0)</f>
        <v>20.429203539708002</v>
      </c>
      <c r="I636" s="34">
        <f>(C636*1.16814159292)+(-2)</f>
        <v>17.975221238932004</v>
      </c>
      <c r="J636" s="34">
        <f>(C636*1.1238938053)+(-3.9)</f>
        <v>15.318584070630001</v>
      </c>
      <c r="K636" s="34">
        <f>(C636*1.07964601769)+(-5.6)</f>
        <v>12.861946902499001</v>
      </c>
    </row>
    <row r="637" spans="1:11" s="21" customFormat="1" ht="19.95" customHeight="1" x14ac:dyDescent="0.25">
      <c r="A637" s="13" t="str">
        <f>"41820"</f>
        <v>41820</v>
      </c>
      <c r="B637" s="14" t="s">
        <v>984</v>
      </c>
      <c r="C637" s="13" t="str">
        <f>"13.2"</f>
        <v>13.2</v>
      </c>
      <c r="D637" s="32">
        <f>(C637*1.24778761061)+(0.4)</f>
        <v>16.870796460051999</v>
      </c>
      <c r="E637" s="33">
        <f>(C637*1.16814159292)+(-1)</f>
        <v>14.419469026544</v>
      </c>
      <c r="F637" s="33">
        <f>(C637*1.1238938053)+(-4.4)</f>
        <v>10.435398229959999</v>
      </c>
      <c r="G637" s="33">
        <f>(C637*1.06194690265)+(-5.9)</f>
        <v>8.1176991149799971</v>
      </c>
      <c r="H637" s="34">
        <f>(C637*1.19469026548)+(0)</f>
        <v>15.769911504335999</v>
      </c>
      <c r="I637" s="34">
        <f>(C637*1.16814159292)+(-2)</f>
        <v>13.419469026544</v>
      </c>
      <c r="J637" s="34">
        <f>(C637*1.1238938053)+(-3.9)</f>
        <v>10.935398229959999</v>
      </c>
      <c r="K637" s="34">
        <f>(C637*1.07964601769)+(-5.6)</f>
        <v>8.6513274335079995</v>
      </c>
    </row>
    <row r="638" spans="1:11" s="21" customFormat="1" ht="19.95" customHeight="1" x14ac:dyDescent="0.25">
      <c r="A638" s="13" t="str">
        <f>"76413"</f>
        <v>76413</v>
      </c>
      <c r="B638" s="14" t="s">
        <v>985</v>
      </c>
      <c r="C638" s="13" t="str">
        <f>"10.1"</f>
        <v>10.1</v>
      </c>
      <c r="D638" s="32">
        <f>(C638*1.24778761061)+(0.4)</f>
        <v>13.002654867161</v>
      </c>
      <c r="E638" s="33">
        <f>(C638*1.16814159292)+(-1)</f>
        <v>10.798230088492</v>
      </c>
      <c r="F638" s="33">
        <f>(C638*1.1238938053)+(-4.4)</f>
        <v>6.9513274335300004</v>
      </c>
      <c r="G638" s="33">
        <f>(C638*1.06194690265)+(-5.9)</f>
        <v>4.8256637167649981</v>
      </c>
      <c r="H638" s="34">
        <f>(C638*1.19469026548)+(0)</f>
        <v>12.066371681348</v>
      </c>
      <c r="I638" s="34">
        <f>(C638*1.16814159292)+(-2)</f>
        <v>9.7982300884919997</v>
      </c>
      <c r="J638" s="34">
        <f>(C638*1.1238938053)+(-3.9)</f>
        <v>7.4513274335300004</v>
      </c>
      <c r="K638" s="34">
        <f>(C638*1.07964601769)+(-5.6)</f>
        <v>5.3044247786690004</v>
      </c>
    </row>
    <row r="639" spans="1:11" s="21" customFormat="1" ht="19.95" customHeight="1" x14ac:dyDescent="0.25">
      <c r="A639" s="13" t="str">
        <f>"54447"</f>
        <v>54447</v>
      </c>
      <c r="B639" s="14" t="s">
        <v>986</v>
      </c>
      <c r="C639" s="13" t="str">
        <f>"9.6"</f>
        <v>9.6</v>
      </c>
      <c r="D639" s="32">
        <f>(C639*1.24778761061)+(0.4)</f>
        <v>12.378761061856</v>
      </c>
      <c r="E639" s="33">
        <f>(C639*1.16814159292)+(-1)</f>
        <v>10.214159292032001</v>
      </c>
      <c r="F639" s="33">
        <f>(C639*1.1238938053)+(-4.4)</f>
        <v>6.3893805308800005</v>
      </c>
      <c r="G639" s="33">
        <f>(C639*1.06194690265)+(-5.9)</f>
        <v>4.2946902654399981</v>
      </c>
      <c r="H639" s="34">
        <f>(C639*1.19469026548)+(0)</f>
        <v>11.469026548607999</v>
      </c>
      <c r="I639" s="34">
        <f>(C639*1.16814159292)+(-2)</f>
        <v>9.2141592920320008</v>
      </c>
      <c r="J639" s="34">
        <f>(C639*1.1238938053)+(-3.9)</f>
        <v>6.8893805308800005</v>
      </c>
      <c r="K639" s="34">
        <f>(C639*1.07964601769)+(-5.6)</f>
        <v>4.7646017698240009</v>
      </c>
    </row>
    <row r="640" spans="1:11" s="21" customFormat="1" ht="19.95" customHeight="1" x14ac:dyDescent="0.25">
      <c r="A640" s="13" t="str">
        <f>"50011"</f>
        <v>50011</v>
      </c>
      <c r="B640" s="14" t="s">
        <v>987</v>
      </c>
      <c r="C640" s="13" t="str">
        <f>"20.1"</f>
        <v>20.1</v>
      </c>
      <c r="D640" s="32">
        <f>(C640*1.24778761061)+(0.4)</f>
        <v>25.480530973261001</v>
      </c>
      <c r="E640" s="33">
        <f>(C640*1.16814159292)+(-1)</f>
        <v>22.479646017692005</v>
      </c>
      <c r="F640" s="33">
        <f>(C640*1.1238938053)+(-4.4)</f>
        <v>18.190265486530002</v>
      </c>
      <c r="G640" s="33">
        <f>(C640*1.06194690265)+(-5.9)</f>
        <v>15.445132743265001</v>
      </c>
      <c r="H640" s="34">
        <f>(C640*1.19469026548)+(0)</f>
        <v>24.013274336148001</v>
      </c>
      <c r="I640" s="34">
        <f>(C640*1.16814159292)+(-2)</f>
        <v>21.479646017692005</v>
      </c>
      <c r="J640" s="34">
        <f>(C640*1.1238938053)+(-3.9)</f>
        <v>18.690265486530006</v>
      </c>
      <c r="K640" s="34">
        <f>(C640*1.07964601769)+(-5.6)</f>
        <v>16.100884955569001</v>
      </c>
    </row>
    <row r="641" spans="1:11" s="21" customFormat="1" ht="19.95" customHeight="1" x14ac:dyDescent="0.25">
      <c r="A641" s="13" t="str">
        <f>"16184"</f>
        <v>16184</v>
      </c>
      <c r="B641" s="14" t="s">
        <v>988</v>
      </c>
      <c r="C641" s="13" t="str">
        <f>"24.8"</f>
        <v>24.8</v>
      </c>
      <c r="D641" s="32">
        <f>(C641*1.24778761061)+(0.4)</f>
        <v>31.345132743128001</v>
      </c>
      <c r="E641" s="33">
        <f>(C641*1.16814159292)+(-1)</f>
        <v>27.969911504416004</v>
      </c>
      <c r="F641" s="33">
        <f>(C641*1.1238938053)+(-4.4)</f>
        <v>23.472566371440003</v>
      </c>
      <c r="G641" s="33">
        <f>(C641*1.06194690265)+(-5.9)</f>
        <v>20.436283185720001</v>
      </c>
      <c r="H641" s="34">
        <f>(C641*1.19469026548)+(0)</f>
        <v>29.628318583904001</v>
      </c>
      <c r="I641" s="34">
        <f>(C641*1.16814159292)+(-2)</f>
        <v>26.969911504416004</v>
      </c>
      <c r="J641" s="34">
        <f>(C641*1.1238938053)+(-3.9)</f>
        <v>23.972566371440003</v>
      </c>
      <c r="K641" s="34">
        <f>(C641*1.07964601769)+(-5.6)</f>
        <v>21.175221238711998</v>
      </c>
    </row>
    <row r="642" spans="1:11" s="21" customFormat="1" ht="19.95" customHeight="1" x14ac:dyDescent="0.25">
      <c r="A642" s="13" t="str">
        <f>"16176"</f>
        <v>16176</v>
      </c>
      <c r="B642" s="14" t="s">
        <v>989</v>
      </c>
      <c r="C642" s="13" t="str">
        <f>"10.8"</f>
        <v>10.8</v>
      </c>
      <c r="D642" s="32">
        <f>(C642*1.24778761061)+(0.4)</f>
        <v>13.876106194588003</v>
      </c>
      <c r="E642" s="33">
        <f>(C642*1.16814159292)+(-1)</f>
        <v>11.615929203536002</v>
      </c>
      <c r="F642" s="33">
        <f>(C642*1.1238938053)+(-4.4)</f>
        <v>7.7380530972400017</v>
      </c>
      <c r="G642" s="33">
        <f>(C642*1.06194690265)+(-5.9)</f>
        <v>5.5690265486200001</v>
      </c>
      <c r="H642" s="34">
        <f>(C642*1.19469026548)+(0)</f>
        <v>12.902654867184001</v>
      </c>
      <c r="I642" s="34">
        <f>(C642*1.16814159292)+(-2)</f>
        <v>10.615929203536002</v>
      </c>
      <c r="J642" s="34">
        <f>(C642*1.1238938053)+(-3.9)</f>
        <v>8.2380530972400017</v>
      </c>
      <c r="K642" s="34">
        <f>(C642*1.07964601769)+(-5.6)</f>
        <v>6.0601769910520016</v>
      </c>
    </row>
    <row r="643" spans="1:11" s="21" customFormat="1" ht="19.95" customHeight="1" x14ac:dyDescent="0.25">
      <c r="A643" s="13" t="str">
        <f>"74795"</f>
        <v>74795</v>
      </c>
      <c r="B643" s="14" t="s">
        <v>990</v>
      </c>
      <c r="C643" s="13" t="str">
        <f>"17.7"</f>
        <v>17.7</v>
      </c>
      <c r="D643" s="32">
        <f>(C643*1.24778761061)+(0.4)</f>
        <v>22.485840707796999</v>
      </c>
      <c r="E643" s="33">
        <f>(C643*1.16814159292)+(-1)</f>
        <v>19.676106194683999</v>
      </c>
      <c r="F643" s="33">
        <f>(C643*1.1238938053)+(-4.4)</f>
        <v>15.492920353809998</v>
      </c>
      <c r="G643" s="33">
        <f>(C643*1.06194690265)+(-5.9)</f>
        <v>12.896460176904997</v>
      </c>
      <c r="H643" s="34">
        <f>(C643*1.19469026548)+(0)</f>
        <v>21.146017698996001</v>
      </c>
      <c r="I643" s="34">
        <f>(C643*1.16814159292)+(-2)</f>
        <v>18.676106194683999</v>
      </c>
      <c r="J643" s="34">
        <f>(C643*1.1238938053)+(-3.9)</f>
        <v>15.992920353809998</v>
      </c>
      <c r="K643" s="34">
        <f>(C643*1.07964601769)+(-5.6)</f>
        <v>13.509734513113001</v>
      </c>
    </row>
    <row r="644" spans="1:11" s="21" customFormat="1" ht="19.95" customHeight="1" x14ac:dyDescent="0.25">
      <c r="A644" s="13" t="str">
        <f>"75469"</f>
        <v>75469</v>
      </c>
      <c r="B644" s="14" t="s">
        <v>991</v>
      </c>
      <c r="C644" s="13" t="str">
        <f>"16.5"</f>
        <v>16.5</v>
      </c>
      <c r="D644" s="32">
        <f>(C644*1.24778761061)+(0.4)</f>
        <v>20.988495575064999</v>
      </c>
      <c r="E644" s="33">
        <f>(C644*1.16814159292)+(-1)</f>
        <v>18.274336283180002</v>
      </c>
      <c r="F644" s="33">
        <f>(C644*1.1238938053)+(-4.4)</f>
        <v>14.14424778745</v>
      </c>
      <c r="G644" s="33">
        <f>(C644*1.06194690265)+(-5.9)</f>
        <v>11.622123893724998</v>
      </c>
      <c r="H644" s="34">
        <f>(C644*1.19469026548)+(0)</f>
        <v>19.712389380419999</v>
      </c>
      <c r="I644" s="34">
        <f>(C644*1.16814159292)+(-2)</f>
        <v>17.274336283180002</v>
      </c>
      <c r="J644" s="34">
        <f>(C644*1.1238938053)+(-3.9)</f>
        <v>14.64424778745</v>
      </c>
      <c r="K644" s="34">
        <f>(C644*1.07964601769)+(-5.6)</f>
        <v>12.214159291885002</v>
      </c>
    </row>
    <row r="645" spans="1:11" s="21" customFormat="1" ht="19.95" customHeight="1" x14ac:dyDescent="0.25">
      <c r="A645" s="13" t="str">
        <f>"76482"</f>
        <v>76482</v>
      </c>
      <c r="B645" s="14" t="s">
        <v>992</v>
      </c>
      <c r="C645" s="13" t="str">
        <f>"18.1"</f>
        <v>18.1</v>
      </c>
      <c r="D645" s="32">
        <f>(C645*1.24778761061)+(0.4)</f>
        <v>22.984955752041003</v>
      </c>
      <c r="E645" s="33">
        <f>(C645*1.16814159292)+(-1)</f>
        <v>20.143362831852002</v>
      </c>
      <c r="F645" s="33">
        <f>(C645*1.1238938053)+(-4.4)</f>
        <v>15.942477875930001</v>
      </c>
      <c r="G645" s="33">
        <f>(C645*1.06194690265)+(-5.9)</f>
        <v>13.321238937965001</v>
      </c>
      <c r="H645" s="34">
        <f>(C645*1.19469026548)+(0)</f>
        <v>21.623893805188001</v>
      </c>
      <c r="I645" s="34">
        <f>(C645*1.16814159292)+(-2)</f>
        <v>19.143362831852002</v>
      </c>
      <c r="J645" s="34">
        <f>(C645*1.1238938053)+(-3.9)</f>
        <v>16.442477875930003</v>
      </c>
      <c r="K645" s="34">
        <f>(C645*1.07964601769)+(-5.6)</f>
        <v>13.941592920189001</v>
      </c>
    </row>
    <row r="646" spans="1:11" s="21" customFormat="1" ht="19.95" customHeight="1" x14ac:dyDescent="0.25">
      <c r="A646" s="13" t="str">
        <f>"74121"</f>
        <v>74121</v>
      </c>
      <c r="B646" s="14" t="s">
        <v>993</v>
      </c>
      <c r="C646" s="13" t="str">
        <f>"16.9"</f>
        <v>16.9</v>
      </c>
      <c r="D646" s="32">
        <f>(C646*1.24778761061)+(0.4)</f>
        <v>21.487610619308999</v>
      </c>
      <c r="E646" s="33">
        <f>(C646*1.16814159292)+(-1)</f>
        <v>18.741592920348001</v>
      </c>
      <c r="F646" s="33">
        <f>(C646*1.1238938053)+(-4.4)</f>
        <v>14.59380530957</v>
      </c>
      <c r="G646" s="33">
        <f>(C646*1.06194690265)+(-5.9)</f>
        <v>12.046902654784995</v>
      </c>
      <c r="H646" s="34">
        <f>(C646*1.19469026548)+(0)</f>
        <v>20.190265486611999</v>
      </c>
      <c r="I646" s="34">
        <f>(C646*1.16814159292)+(-2)</f>
        <v>17.741592920348001</v>
      </c>
      <c r="J646" s="34">
        <f>(C646*1.1238938053)+(-3.9)</f>
        <v>15.09380530957</v>
      </c>
      <c r="K646" s="34">
        <f>(C646*1.07964601769)+(-5.6)</f>
        <v>12.646017698960998</v>
      </c>
    </row>
    <row r="647" spans="1:11" s="21" customFormat="1" ht="19.95" customHeight="1" x14ac:dyDescent="0.25">
      <c r="A647" s="13" t="str">
        <f>"32703"</f>
        <v>32703</v>
      </c>
      <c r="B647" s="14" t="s">
        <v>994</v>
      </c>
      <c r="C647" s="13" t="str">
        <f>"11.1"</f>
        <v>11.1</v>
      </c>
      <c r="D647" s="32">
        <f>(C647*1.24778761061)+(0.4)</f>
        <v>14.250442477771001</v>
      </c>
      <c r="E647" s="33">
        <f>(C647*1.16814159292)+(-1)</f>
        <v>11.966371681412001</v>
      </c>
      <c r="F647" s="33">
        <f>(C647*1.1238938053)+(-4.4)</f>
        <v>8.0752212388300002</v>
      </c>
      <c r="G647" s="33">
        <f>(C647*1.06194690265)+(-5.9)</f>
        <v>5.887610619414998</v>
      </c>
      <c r="H647" s="34">
        <f>(C647*1.19469026548)+(0)</f>
        <v>13.261061946827999</v>
      </c>
      <c r="I647" s="34">
        <f>(C647*1.16814159292)+(-2)</f>
        <v>10.966371681412001</v>
      </c>
      <c r="J647" s="34">
        <f>(C647*1.1238938053)+(-3.9)</f>
        <v>8.5752212388300002</v>
      </c>
      <c r="K647" s="34">
        <f>(C647*1.07964601769)+(-5.6)</f>
        <v>6.3840707963589995</v>
      </c>
    </row>
    <row r="648" spans="1:11" s="21" customFormat="1" ht="19.95" customHeight="1" x14ac:dyDescent="0.25">
      <c r="A648" s="13" t="str">
        <f>"16185"</f>
        <v>16185</v>
      </c>
      <c r="B648" s="14" t="s">
        <v>995</v>
      </c>
      <c r="C648" s="13" t="str">
        <f>"2.5"</f>
        <v>2.5</v>
      </c>
      <c r="D648" s="32">
        <f>(C648*1.24778761061)+(0.4)</f>
        <v>3.5194690265250004</v>
      </c>
      <c r="E648" s="33">
        <f>(C648*1.16814159292)+(-1)</f>
        <v>1.9203539823</v>
      </c>
      <c r="F648" s="33">
        <f>(C648*1.1238938053)+(-4.4)</f>
        <v>-1.5902654867500003</v>
      </c>
      <c r="G648" s="33">
        <f>(C648*1.06194690265)+(-5.9)</f>
        <v>-3.2451327433750006</v>
      </c>
      <c r="H648" s="34">
        <f>(C648*1.19469026548)+(0)</f>
        <v>2.9867256637000001</v>
      </c>
      <c r="I648" s="34">
        <f>(C648*1.16814159292)+(-2)</f>
        <v>0.92035398229999998</v>
      </c>
      <c r="J648" s="34">
        <f>(C648*1.1238938053)+(-3.9)</f>
        <v>-1.0902654867499999</v>
      </c>
      <c r="K648" s="34">
        <f>(C648*1.07964601769)+(-5.6)</f>
        <v>-2.9008849557749996</v>
      </c>
    </row>
    <row r="649" spans="1:11" s="21" customFormat="1" ht="19.95" customHeight="1" x14ac:dyDescent="0.25">
      <c r="A649" s="13" t="str">
        <f>"18723"</f>
        <v>18723</v>
      </c>
      <c r="B649" s="14" t="s">
        <v>996</v>
      </c>
      <c r="C649" s="13" t="str">
        <f>"10.4"</f>
        <v>10.4</v>
      </c>
      <c r="D649" s="32">
        <f>(C649*1.24778761061)+(0.4)</f>
        <v>13.376991150344002</v>
      </c>
      <c r="E649" s="33">
        <f>(C649*1.16814159292)+(-1)</f>
        <v>11.148672566368001</v>
      </c>
      <c r="F649" s="33">
        <f>(C649*1.1238938053)+(-4.4)</f>
        <v>7.2884955751200007</v>
      </c>
      <c r="G649" s="33">
        <f>(C649*1.06194690265)+(-5.9)</f>
        <v>5.1442477875599995</v>
      </c>
      <c r="H649" s="34">
        <f>(C649*1.19469026548)+(0)</f>
        <v>12.424778760992</v>
      </c>
      <c r="I649" s="34">
        <f>(C649*1.16814159292)+(-2)</f>
        <v>10.148672566368001</v>
      </c>
      <c r="J649" s="34">
        <f>(C649*1.1238938053)+(-3.9)</f>
        <v>7.7884955751200007</v>
      </c>
      <c r="K649" s="34">
        <f>(C649*1.07964601769)+(-5.6)</f>
        <v>5.6283185839760002</v>
      </c>
    </row>
    <row r="650" spans="1:11" s="21" customFormat="1" ht="19.95" customHeight="1" x14ac:dyDescent="0.25">
      <c r="A650" s="13" t="str">
        <f>"75367"</f>
        <v>75367</v>
      </c>
      <c r="B650" s="14" t="s">
        <v>997</v>
      </c>
      <c r="C650" s="13" t="str">
        <f>"16.0"</f>
        <v>16.0</v>
      </c>
      <c r="D650" s="32">
        <f>(C650*1.24778761061)+(0.4)</f>
        <v>20.36460176976</v>
      </c>
      <c r="E650" s="33">
        <f>(C650*1.16814159292)+(-1)</f>
        <v>17.690265486720001</v>
      </c>
      <c r="F650" s="33">
        <f>(C650*1.1238938053)+(-4.4)</f>
        <v>13.5823008848</v>
      </c>
      <c r="G650" s="33">
        <f>(C650*1.06194690265)+(-5.9)</f>
        <v>11.091150442399998</v>
      </c>
      <c r="H650" s="34">
        <f>(C650*1.19469026548)+(0)</f>
        <v>19.11504424768</v>
      </c>
      <c r="I650" s="34">
        <f>(C650*1.16814159292)+(-2)</f>
        <v>16.690265486720001</v>
      </c>
      <c r="J650" s="34">
        <f>(C650*1.1238938053)+(-3.9)</f>
        <v>14.0823008848</v>
      </c>
      <c r="K650" s="34">
        <f>(C650*1.07964601769)+(-5.6)</f>
        <v>11.674336283040001</v>
      </c>
    </row>
    <row r="651" spans="1:11" s="21" customFormat="1" ht="19.95" customHeight="1" x14ac:dyDescent="0.25">
      <c r="A651" s="13" t="str">
        <f>"69708"</f>
        <v>69708</v>
      </c>
      <c r="B651" s="14" t="s">
        <v>998</v>
      </c>
      <c r="C651" s="13" t="str">
        <f>"39.1"</f>
        <v>39.1</v>
      </c>
      <c r="D651" s="32">
        <f>(C651*1.24778761061)+(0.4)</f>
        <v>49.188495574851004</v>
      </c>
      <c r="E651" s="33">
        <f>(C651*1.16814159292)+(-1)</f>
        <v>44.674336283172003</v>
      </c>
      <c r="F651" s="33">
        <f>(C651*1.1238938053)+(-4.4)</f>
        <v>39.544247787230006</v>
      </c>
      <c r="G651" s="33">
        <f>(C651*1.06194690265)+(-5.9)</f>
        <v>35.622123893614997</v>
      </c>
      <c r="H651" s="34">
        <f>(C651*1.19469026548)+(0)</f>
        <v>46.712389380268</v>
      </c>
      <c r="I651" s="34">
        <f>(C651*1.16814159292)+(-2)</f>
        <v>43.674336283172003</v>
      </c>
      <c r="J651" s="34">
        <f>(C651*1.1238938053)+(-3.9)</f>
        <v>40.044247787230006</v>
      </c>
      <c r="K651" s="34">
        <f>(C651*1.07964601769)+(-5.6)</f>
        <v>36.614159291679002</v>
      </c>
    </row>
    <row r="652" spans="1:11" s="21" customFormat="1" ht="19.95" customHeight="1" x14ac:dyDescent="0.25">
      <c r="A652" s="13" t="str">
        <f>"50138"</f>
        <v>50138</v>
      </c>
      <c r="B652" s="14" t="s">
        <v>999</v>
      </c>
      <c r="C652" s="13" t="str">
        <f>"23.1"</f>
        <v>23.1</v>
      </c>
      <c r="D652" s="32">
        <f>(C652*1.24778761061)+(0.4)</f>
        <v>29.223893805091002</v>
      </c>
      <c r="E652" s="33">
        <f>(C652*1.16814159292)+(-1)</f>
        <v>25.984070796452002</v>
      </c>
      <c r="F652" s="33">
        <f>(C652*1.1238938053)+(-4.4)</f>
        <v>21.561946902430002</v>
      </c>
      <c r="G652" s="33">
        <f>(C652*1.06194690265)+(-5.9)</f>
        <v>18.630973451214999</v>
      </c>
      <c r="H652" s="34">
        <f>(C652*1.19469026548)+(0)</f>
        <v>27.597345132588003</v>
      </c>
      <c r="I652" s="34">
        <f>(C652*1.16814159292)+(-2)</f>
        <v>24.984070796452002</v>
      </c>
      <c r="J652" s="34">
        <f>(C652*1.1238938053)+(-3.9)</f>
        <v>22.061946902430005</v>
      </c>
      <c r="K652" s="34">
        <f>(C652*1.07964601769)+(-5.6)</f>
        <v>19.339823008639002</v>
      </c>
    </row>
    <row r="653" spans="1:11" s="21" customFormat="1" ht="19.95" customHeight="1" x14ac:dyDescent="0.25">
      <c r="A653" s="13" t="str">
        <f>"77841"</f>
        <v>77841</v>
      </c>
      <c r="B653" s="14" t="s">
        <v>1000</v>
      </c>
      <c r="C653" s="13" t="str">
        <f>"23.0"</f>
        <v>23.0</v>
      </c>
      <c r="D653" s="32">
        <f>(C653*1.24778761061)+(0.4)</f>
        <v>29.09911504403</v>
      </c>
      <c r="E653" s="33">
        <f>(C653*1.16814159292)+(-1)</f>
        <v>25.867256637160001</v>
      </c>
      <c r="F653" s="33">
        <f>(C653*1.1238938053)+(-4.4)</f>
        <v>21.449557521899997</v>
      </c>
      <c r="G653" s="33">
        <f>(C653*1.06194690265)+(-5.9)</f>
        <v>18.524778760949999</v>
      </c>
      <c r="H653" s="34">
        <f>(C653*1.19469026548)+(0)</f>
        <v>27.47787610604</v>
      </c>
      <c r="I653" s="34">
        <f>(C653*1.16814159292)+(-2)</f>
        <v>24.867256637160001</v>
      </c>
      <c r="J653" s="34">
        <f>(C653*1.1238938053)+(-3.9)</f>
        <v>21.949557521900001</v>
      </c>
      <c r="K653" s="34">
        <f>(C653*1.07964601769)+(-5.6)</f>
        <v>19.231858406870003</v>
      </c>
    </row>
    <row r="654" spans="1:11" s="21" customFormat="1" ht="19.95" customHeight="1" x14ac:dyDescent="0.25">
      <c r="A654" s="13" t="str">
        <f>"74179"</f>
        <v>74179</v>
      </c>
      <c r="B654" s="14" t="s">
        <v>1001</v>
      </c>
      <c r="C654" s="13" t="str">
        <f>"23.4"</f>
        <v>23.4</v>
      </c>
      <c r="D654" s="32">
        <f>(C654*1.24778761061)+(0.4)</f>
        <v>29.598230088274001</v>
      </c>
      <c r="E654" s="33">
        <f>(C654*1.16814159292)+(-1)</f>
        <v>26.334513274328</v>
      </c>
      <c r="F654" s="33">
        <f>(C654*1.1238938053)+(-4.4)</f>
        <v>21.89911504402</v>
      </c>
      <c r="G654" s="33">
        <f>(C654*1.06194690265)+(-5.9)</f>
        <v>18.949557522009997</v>
      </c>
      <c r="H654" s="34">
        <f>(C654*1.19469026548)+(0)</f>
        <v>27.955752212231999</v>
      </c>
      <c r="I654" s="34">
        <f>(C654*1.16814159292)+(-2)</f>
        <v>25.334513274328</v>
      </c>
      <c r="J654" s="34">
        <f>(C654*1.1238938053)+(-3.9)</f>
        <v>22.39911504402</v>
      </c>
      <c r="K654" s="34">
        <f>(C654*1.07964601769)+(-5.6)</f>
        <v>19.663716813945996</v>
      </c>
    </row>
    <row r="655" spans="1:11" s="21" customFormat="1" ht="19.95" customHeight="1" x14ac:dyDescent="0.25">
      <c r="A655" s="13" t="str">
        <f>"16190"</f>
        <v>16190</v>
      </c>
      <c r="B655" s="14" t="s">
        <v>1002</v>
      </c>
      <c r="C655" s="13" t="str">
        <f>"25.4"</f>
        <v>25.4</v>
      </c>
      <c r="D655" s="32">
        <f>(C655*1.24778761061)+(0.4)</f>
        <v>32.093805309494002</v>
      </c>
      <c r="E655" s="33">
        <f>(C655*1.16814159292)+(-1)</f>
        <v>28.670796460167999</v>
      </c>
      <c r="F655" s="33">
        <f>(C655*1.1238938053)+(-4.4)</f>
        <v>24.14690265462</v>
      </c>
      <c r="G655" s="33">
        <f>(C655*1.06194690265)+(-5.9)</f>
        <v>21.073451327309996</v>
      </c>
      <c r="H655" s="34">
        <f>(C655*1.19469026548)+(0)</f>
        <v>30.345132743192</v>
      </c>
      <c r="I655" s="34">
        <f>(C655*1.16814159292)+(-2)</f>
        <v>27.670796460167999</v>
      </c>
      <c r="J655" s="34">
        <f>(C655*1.1238938053)+(-3.9)</f>
        <v>24.64690265462</v>
      </c>
      <c r="K655" s="34">
        <f>(C655*1.07964601769)+(-5.6)</f>
        <v>21.823008849326001</v>
      </c>
    </row>
    <row r="656" spans="1:11" s="21" customFormat="1" ht="19.95" customHeight="1" x14ac:dyDescent="0.25">
      <c r="A656" s="13" t="str">
        <f>"25034"</f>
        <v>25034</v>
      </c>
      <c r="B656" s="14" t="s">
        <v>1003</v>
      </c>
      <c r="C656" s="13" t="str">
        <f>"24.7"</f>
        <v>24.7</v>
      </c>
      <c r="D656" s="32">
        <f>(C656*1.24778761061)+(0.4)</f>
        <v>31.220353982067</v>
      </c>
      <c r="E656" s="33">
        <f>(C656*1.16814159292)+(-1)</f>
        <v>27.853097345124002</v>
      </c>
      <c r="F656" s="33">
        <f>(C656*1.1238938053)+(-4.4)</f>
        <v>23.360176990909999</v>
      </c>
      <c r="G656" s="33">
        <f>(C656*1.06194690265)+(-5.9)</f>
        <v>20.330088495454994</v>
      </c>
      <c r="H656" s="34">
        <f>(C656*1.19469026548)+(0)</f>
        <v>29.508849557356001</v>
      </c>
      <c r="I656" s="34">
        <f>(C656*1.16814159292)+(-2)</f>
        <v>26.853097345124002</v>
      </c>
      <c r="J656" s="34">
        <f>(C656*1.1238938053)+(-3.9)</f>
        <v>23.860176990910002</v>
      </c>
      <c r="K656" s="34">
        <f>(C656*1.07964601769)+(-5.6)</f>
        <v>21.067256636943</v>
      </c>
    </row>
    <row r="657" spans="1:11" s="21" customFormat="1" ht="19.95" customHeight="1" x14ac:dyDescent="0.25">
      <c r="A657" s="13" t="str">
        <f>"79870"</f>
        <v>79870</v>
      </c>
      <c r="B657" s="14" t="s">
        <v>1004</v>
      </c>
      <c r="C657" s="13" t="str">
        <f>"21.9"</f>
        <v>21.9</v>
      </c>
      <c r="D657" s="32">
        <f>(C657*1.24778761061)+(0.4)</f>
        <v>27.726548672358998</v>
      </c>
      <c r="E657" s="33">
        <f>(C657*1.16814159292)+(-1)</f>
        <v>24.582300884948001</v>
      </c>
      <c r="F657" s="33">
        <f>(C657*1.1238938053)+(-4.4)</f>
        <v>20.21327433607</v>
      </c>
      <c r="G657" s="33">
        <f>(C657*1.06194690265)+(-5.9)</f>
        <v>17.356637168034993</v>
      </c>
      <c r="H657" s="34">
        <f>(C657*1.19469026548)+(0)</f>
        <v>26.163716814011998</v>
      </c>
      <c r="I657" s="34">
        <f>(C657*1.16814159292)+(-2)</f>
        <v>23.582300884948001</v>
      </c>
      <c r="J657" s="34">
        <f>(C657*1.1238938053)+(-3.9)</f>
        <v>20.71327433607</v>
      </c>
      <c r="K657" s="34">
        <f>(C657*1.07964601769)+(-5.6)</f>
        <v>18.044247787411003</v>
      </c>
    </row>
    <row r="658" spans="1:11" s="21" customFormat="1" ht="19.95" customHeight="1" x14ac:dyDescent="0.25">
      <c r="A658" s="13" t="str">
        <f>"1015445"</f>
        <v>1015445</v>
      </c>
      <c r="B658" s="14" t="s">
        <v>1005</v>
      </c>
      <c r="C658" s="13" t="str">
        <f>"17.8"</f>
        <v>17.8</v>
      </c>
      <c r="D658" s="32">
        <f>(C658*1.24778761061)+(0.4)</f>
        <v>22.610619468858001</v>
      </c>
      <c r="E658" s="33">
        <f>(C658*1.16814159292)+(-1)</f>
        <v>19.792920353976001</v>
      </c>
      <c r="F658" s="33">
        <f>(C658*1.1238938053)+(-4.4)</f>
        <v>15.605309734340002</v>
      </c>
      <c r="G658" s="33">
        <f>(C658*1.06194690265)+(-5.9)</f>
        <v>13.00265486717</v>
      </c>
      <c r="H658" s="34">
        <f>(C658*1.19469026548)+(0)</f>
        <v>21.265486725544001</v>
      </c>
      <c r="I658" s="34">
        <f>(C658*1.16814159292)+(-2)</f>
        <v>18.792920353976001</v>
      </c>
      <c r="J658" s="34">
        <f>(C658*1.1238938053)+(-3.9)</f>
        <v>16.105309734340004</v>
      </c>
      <c r="K658" s="34">
        <f>(C658*1.07964601769)+(-5.6)</f>
        <v>13.617699114882003</v>
      </c>
    </row>
    <row r="659" spans="1:11" s="21" customFormat="1" ht="19.95" customHeight="1" x14ac:dyDescent="0.25">
      <c r="A659" s="13" t="str">
        <f>"1005159"</f>
        <v>1005159</v>
      </c>
      <c r="B659" s="14" t="s">
        <v>1006</v>
      </c>
      <c r="C659" s="13" t="str">
        <f>"22.4000"</f>
        <v>22.4000</v>
      </c>
      <c r="D659" s="32">
        <f>(C659*1.24778761061)+(0.4)</f>
        <v>28.350442477664</v>
      </c>
      <c r="E659" s="33">
        <f>(C659*1.16814159292)+(-1)</f>
        <v>25.166371681408002</v>
      </c>
      <c r="F659" s="33">
        <f>(C659*1.1238938053)+(-4.4)</f>
        <v>20.77522123872</v>
      </c>
      <c r="G659" s="33">
        <f>(C659*1.06194690265)+(-5.9)</f>
        <v>17.887610619359997</v>
      </c>
      <c r="H659" s="34">
        <f>(C659*1.19469026548)+(0)</f>
        <v>26.761061946751997</v>
      </c>
      <c r="I659" s="34">
        <f>(C659*1.16814159292)+(-2)</f>
        <v>24.166371681408002</v>
      </c>
      <c r="J659" s="34">
        <f>(C659*1.1238938053)+(-3.9)</f>
        <v>21.27522123872</v>
      </c>
      <c r="K659" s="34">
        <f>(C659*1.07964601769)+(-5.6)</f>
        <v>18.584070796256</v>
      </c>
    </row>
    <row r="660" spans="1:11" s="21" customFormat="1" ht="19.95" customHeight="1" x14ac:dyDescent="0.25">
      <c r="A660" s="13" t="str">
        <f>"16198"</f>
        <v>16198</v>
      </c>
      <c r="B660" s="14" t="s">
        <v>1007</v>
      </c>
      <c r="C660" s="13" t="str">
        <f>"16.8"</f>
        <v>16.8</v>
      </c>
      <c r="D660" s="32">
        <f>(C660*1.24778761061)+(0.4)</f>
        <v>21.362831858248001</v>
      </c>
      <c r="E660" s="33">
        <f>(C660*1.16814159292)+(-1)</f>
        <v>18.624778761056003</v>
      </c>
      <c r="F660" s="33">
        <f>(C660*1.1238938053)+(-4.4)</f>
        <v>14.481415929040002</v>
      </c>
      <c r="G660" s="33">
        <f>(C660*1.06194690265)+(-5.9)</f>
        <v>11.94070796452</v>
      </c>
      <c r="H660" s="34">
        <f>(C660*1.19469026548)+(0)</f>
        <v>20.070796460064003</v>
      </c>
      <c r="I660" s="34">
        <f>(C660*1.16814159292)+(-2)</f>
        <v>17.624778761056003</v>
      </c>
      <c r="J660" s="34">
        <f>(C660*1.1238938053)+(-3.9)</f>
        <v>14.981415929040002</v>
      </c>
      <c r="K660" s="34">
        <f>(C660*1.07964601769)+(-5.6)</f>
        <v>12.538053097192</v>
      </c>
    </row>
    <row r="661" spans="1:11" s="21" customFormat="1" ht="19.95" customHeight="1" x14ac:dyDescent="0.25">
      <c r="A661" s="13" t="str">
        <f>"80047"</f>
        <v>80047</v>
      </c>
      <c r="B661" s="14" t="s">
        <v>1008</v>
      </c>
      <c r="C661" s="13" t="str">
        <f>"18.5"</f>
        <v>18.5</v>
      </c>
      <c r="D661" s="32">
        <f>(C661*1.24778761061)+(0.4)</f>
        <v>23.484070796285</v>
      </c>
      <c r="E661" s="33">
        <f>(C661*1.16814159292)+(-1)</f>
        <v>20.610619469020001</v>
      </c>
      <c r="F661" s="33">
        <f>(C661*1.1238938053)+(-4.4)</f>
        <v>16.392035398049998</v>
      </c>
      <c r="G661" s="33">
        <f>(C661*1.06194690265)+(-5.9)</f>
        <v>13.746017699024998</v>
      </c>
      <c r="H661" s="34">
        <f>(C661*1.19469026548)+(0)</f>
        <v>22.10176991138</v>
      </c>
      <c r="I661" s="34">
        <f>(C661*1.16814159292)+(-2)</f>
        <v>19.610619469020001</v>
      </c>
      <c r="J661" s="34">
        <f>(C661*1.1238938053)+(-3.9)</f>
        <v>16.892035398050002</v>
      </c>
      <c r="K661" s="34">
        <f>(C661*1.07964601769)+(-5.6)</f>
        <v>14.373451327265</v>
      </c>
    </row>
    <row r="662" spans="1:11" s="21" customFormat="1" ht="19.95" customHeight="1" x14ac:dyDescent="0.25">
      <c r="A662" s="13" t="str">
        <f>"42480"</f>
        <v>42480</v>
      </c>
      <c r="B662" s="14" t="s">
        <v>1009</v>
      </c>
      <c r="C662" s="13" t="str">
        <f>"19.0"</f>
        <v>19.0</v>
      </c>
      <c r="D662" s="32">
        <f>(C662*1.24778761061)+(0.4)</f>
        <v>24.107964601590002</v>
      </c>
      <c r="E662" s="33">
        <f>(C662*1.16814159292)+(-1)</f>
        <v>21.194690265480002</v>
      </c>
      <c r="F662" s="33">
        <f>(C662*1.1238938053)+(-4.4)</f>
        <v>16.953982300699998</v>
      </c>
      <c r="G662" s="33">
        <f>(C662*1.06194690265)+(-5.9)</f>
        <v>14.276991150349998</v>
      </c>
      <c r="H662" s="34">
        <f>(C662*1.19469026548)+(0)</f>
        <v>22.699115044119999</v>
      </c>
      <c r="I662" s="34">
        <f>(C662*1.16814159292)+(-2)</f>
        <v>20.194690265480002</v>
      </c>
      <c r="J662" s="34">
        <f>(C662*1.1238938053)+(-3.9)</f>
        <v>17.453982300700002</v>
      </c>
      <c r="K662" s="34">
        <f>(C662*1.07964601769)+(-5.6)</f>
        <v>14.913274336110002</v>
      </c>
    </row>
    <row r="663" spans="1:11" s="21" customFormat="1" ht="19.95" customHeight="1" x14ac:dyDescent="0.25">
      <c r="A663" s="13" t="str">
        <f>"1003101"</f>
        <v>1003101</v>
      </c>
      <c r="B663" s="14" t="s">
        <v>1010</v>
      </c>
      <c r="C663" s="13" t="str">
        <f>"13.0"</f>
        <v>13.0</v>
      </c>
      <c r="D663" s="32">
        <f>(C663*1.24778761061)+(0.4)</f>
        <v>16.621238937929999</v>
      </c>
      <c r="E663" s="33">
        <f>(C663*1.16814159292)+(-1)</f>
        <v>14.185840707960001</v>
      </c>
      <c r="F663" s="33">
        <f>(C663*1.1238938053)+(-4.4)</f>
        <v>10.210619468900001</v>
      </c>
      <c r="G663" s="33">
        <f>(C663*1.06194690265)+(-5.9)</f>
        <v>7.9053097344499985</v>
      </c>
      <c r="H663" s="34">
        <f>(C663*1.19469026548)+(0)</f>
        <v>15.53097345124</v>
      </c>
      <c r="I663" s="34">
        <f>(C663*1.16814159292)+(-2)</f>
        <v>13.185840707960001</v>
      </c>
      <c r="J663" s="34">
        <f>(C663*1.1238938053)+(-3.9)</f>
        <v>10.710619468900001</v>
      </c>
      <c r="K663" s="34">
        <f>(C663*1.07964601769)+(-5.6)</f>
        <v>8.4353982299699997</v>
      </c>
    </row>
    <row r="664" spans="1:11" s="21" customFormat="1" ht="19.95" customHeight="1" x14ac:dyDescent="0.25">
      <c r="A664" s="13" t="str">
        <f>"1000982"</f>
        <v>1000982</v>
      </c>
      <c r="B664" s="14" t="s">
        <v>1011</v>
      </c>
      <c r="C664" s="13" t="str">
        <f>"21.4"</f>
        <v>21.4</v>
      </c>
      <c r="D664" s="32">
        <f>(C664*1.24778761061)+(0.4)</f>
        <v>27.102654867054</v>
      </c>
      <c r="E664" s="33">
        <f>(C664*1.16814159292)+(-1)</f>
        <v>23.998230088488</v>
      </c>
      <c r="F664" s="33">
        <f>(C664*1.1238938053)+(-4.4)</f>
        <v>19.651327433420001</v>
      </c>
      <c r="G664" s="33">
        <f>(C664*1.06194690265)+(-5.9)</f>
        <v>16.825663716709997</v>
      </c>
      <c r="H664" s="34">
        <f>(C664*1.19469026548)+(0)</f>
        <v>25.566371681271999</v>
      </c>
      <c r="I664" s="34">
        <f>(C664*1.16814159292)+(-2)</f>
        <v>22.998230088488</v>
      </c>
      <c r="J664" s="34">
        <f>(C664*1.1238938053)+(-3.9)</f>
        <v>20.151327433420001</v>
      </c>
      <c r="K664" s="34">
        <f>(C664*1.07964601769)+(-5.6)</f>
        <v>17.504424778565998</v>
      </c>
    </row>
    <row r="665" spans="1:11" s="21" customFormat="1" ht="19.95" customHeight="1" x14ac:dyDescent="0.25">
      <c r="A665" s="13" t="str">
        <f>"50932"</f>
        <v>50932</v>
      </c>
      <c r="B665" s="14" t="s">
        <v>1012</v>
      </c>
      <c r="C665" s="13" t="str">
        <f>"18.7"</f>
        <v>18.7</v>
      </c>
      <c r="D665" s="32">
        <f>(C665*1.24778761061)+(0.4)</f>
        <v>23.733628318407</v>
      </c>
      <c r="E665" s="33">
        <f>(C665*1.16814159292)+(-1)</f>
        <v>20.844247787604001</v>
      </c>
      <c r="F665" s="33">
        <f>(C665*1.1238938053)+(-4.4)</f>
        <v>16.61681415911</v>
      </c>
      <c r="G665" s="33">
        <f>(C665*1.06194690265)+(-5.9)</f>
        <v>13.958407079554997</v>
      </c>
      <c r="H665" s="34">
        <f>(C665*1.19469026548)+(0)</f>
        <v>22.340707964476</v>
      </c>
      <c r="I665" s="34">
        <f>(C665*1.16814159292)+(-2)</f>
        <v>19.844247787604001</v>
      </c>
      <c r="J665" s="34">
        <f>(C665*1.1238938053)+(-3.9)</f>
        <v>17.116814159110003</v>
      </c>
      <c r="K665" s="34">
        <f>(C665*1.07964601769)+(-5.6)</f>
        <v>14.589380530803</v>
      </c>
    </row>
    <row r="666" spans="1:11" s="21" customFormat="1" ht="19.95" customHeight="1" x14ac:dyDescent="0.25">
      <c r="A666" s="13" t="str">
        <f>"54386"</f>
        <v>54386</v>
      </c>
      <c r="B666" s="14" t="s">
        <v>1013</v>
      </c>
      <c r="C666" s="13" t="str">
        <f>"25.5"</f>
        <v>25.5</v>
      </c>
      <c r="D666" s="32">
        <f>(C666*1.24778761061)+(0.4)</f>
        <v>32.218584070555004</v>
      </c>
      <c r="E666" s="33">
        <f>(C666*1.16814159292)+(-1)</f>
        <v>28.787610619460001</v>
      </c>
      <c r="F666" s="33">
        <f>(C666*1.1238938053)+(-4.4)</f>
        <v>24.259292035150004</v>
      </c>
      <c r="G666" s="33">
        <f>(C666*1.06194690265)+(-5.9)</f>
        <v>21.179646017574996</v>
      </c>
      <c r="H666" s="34">
        <f>(C666*1.19469026548)+(0)</f>
        <v>30.46460176974</v>
      </c>
      <c r="I666" s="34">
        <f>(C666*1.16814159292)+(-2)</f>
        <v>27.787610619460001</v>
      </c>
      <c r="J666" s="34">
        <f>(C666*1.1238938053)+(-3.9)</f>
        <v>24.759292035150004</v>
      </c>
      <c r="K666" s="34">
        <f>(C666*1.07964601769)+(-5.6)</f>
        <v>21.930973451094999</v>
      </c>
    </row>
    <row r="667" spans="1:11" s="21" customFormat="1" ht="19.95" customHeight="1" x14ac:dyDescent="0.25">
      <c r="A667" s="13" t="str">
        <f>"16208"</f>
        <v>16208</v>
      </c>
      <c r="B667" s="14" t="s">
        <v>1014</v>
      </c>
      <c r="C667" s="13" t="str">
        <f>"26.7"</f>
        <v>26.7</v>
      </c>
      <c r="D667" s="32">
        <f>(C667*1.24778761061)+(0.4)</f>
        <v>33.715929203286997</v>
      </c>
      <c r="E667" s="33">
        <f>(C667*1.16814159292)+(-1)</f>
        <v>30.189380530964002</v>
      </c>
      <c r="F667" s="33">
        <f>(C667*1.1238938053)+(-4.4)</f>
        <v>25.607964601509998</v>
      </c>
      <c r="G667" s="33">
        <f>(C667*1.06194690265)+(-5.9)</f>
        <v>22.453982300754994</v>
      </c>
      <c r="H667" s="34">
        <f>(C667*1.19469026548)+(0)</f>
        <v>31.898230088315998</v>
      </c>
      <c r="I667" s="34">
        <f>(C667*1.16814159292)+(-2)</f>
        <v>29.189380530964002</v>
      </c>
      <c r="J667" s="34">
        <f>(C667*1.1238938053)+(-3.9)</f>
        <v>26.107964601510002</v>
      </c>
      <c r="K667" s="34">
        <f>(C667*1.07964601769)+(-5.6)</f>
        <v>23.226548672322998</v>
      </c>
    </row>
    <row r="668" spans="1:11" s="21" customFormat="1" ht="19.95" customHeight="1" x14ac:dyDescent="0.25">
      <c r="A668" s="13" t="str">
        <f>"71625"</f>
        <v>71625</v>
      </c>
      <c r="B668" s="14" t="s">
        <v>1015</v>
      </c>
      <c r="C668" s="13" t="str">
        <f>"25.8"</f>
        <v>25.8</v>
      </c>
      <c r="D668" s="32">
        <f>(C668*1.24778761061)+(0.4)</f>
        <v>32.592920353738002</v>
      </c>
      <c r="E668" s="33">
        <f>(C668*1.16814159292)+(-1)</f>
        <v>29.138053097336002</v>
      </c>
      <c r="F668" s="33">
        <f>(C668*1.1238938053)+(-4.4)</f>
        <v>24.596460176740003</v>
      </c>
      <c r="G668" s="33">
        <f>(C668*1.06194690265)+(-5.9)</f>
        <v>21.498230088370001</v>
      </c>
      <c r="H668" s="34">
        <f>(C668*1.19469026548)+(0)</f>
        <v>30.823008849384003</v>
      </c>
      <c r="I668" s="34">
        <f>(C668*1.16814159292)+(-2)</f>
        <v>28.138053097336002</v>
      </c>
      <c r="J668" s="34">
        <f>(C668*1.1238938053)+(-3.9)</f>
        <v>25.096460176740003</v>
      </c>
      <c r="K668" s="34">
        <f>(C668*1.07964601769)+(-5.6)</f>
        <v>22.254867256402001</v>
      </c>
    </row>
    <row r="669" spans="1:11" s="21" customFormat="1" ht="19.95" customHeight="1" x14ac:dyDescent="0.25">
      <c r="A669" s="13" t="str">
        <f>"1000353"</f>
        <v>1000353</v>
      </c>
      <c r="B669" s="14" t="s">
        <v>1016</v>
      </c>
      <c r="C669" s="13" t="str">
        <f>"11.0"</f>
        <v>11.0</v>
      </c>
      <c r="D669" s="32">
        <f>(C669*1.24778761061)+(0.4)</f>
        <v>14.125663716710001</v>
      </c>
      <c r="E669" s="33">
        <f>(C669*1.16814159292)+(-1)</f>
        <v>11.849557522120001</v>
      </c>
      <c r="F669" s="33">
        <f>(C669*1.1238938053)+(-4.4)</f>
        <v>7.9628318582999995</v>
      </c>
      <c r="G669" s="33">
        <f>(C669*1.06194690265)+(-5.9)</f>
        <v>5.7814159291499987</v>
      </c>
      <c r="H669" s="34">
        <f>(C669*1.19469026548)+(0)</f>
        <v>13.141592920280001</v>
      </c>
      <c r="I669" s="34">
        <f>(C669*1.16814159292)+(-2)</f>
        <v>10.849557522120001</v>
      </c>
      <c r="J669" s="34">
        <f>(C669*1.1238938053)+(-3.9)</f>
        <v>8.4628318582999995</v>
      </c>
      <c r="K669" s="34">
        <f>(C669*1.07964601769)+(-5.6)</f>
        <v>6.2761061945900014</v>
      </c>
    </row>
    <row r="670" spans="1:11" s="21" customFormat="1" ht="19.95" customHeight="1" x14ac:dyDescent="0.25">
      <c r="A670" s="13" t="str">
        <f>"1004159"</f>
        <v>1004159</v>
      </c>
      <c r="B670" s="14" t="s">
        <v>1017</v>
      </c>
      <c r="C670" s="13" t="str">
        <f>"40.0"</f>
        <v>40.0</v>
      </c>
      <c r="D670" s="32">
        <f>(C670*1.24778761061)+(0.4)</f>
        <v>50.311504424400006</v>
      </c>
      <c r="E670" s="33">
        <f>(C670*1.16814159292)+(-1)</f>
        <v>45.7256637168</v>
      </c>
      <c r="F670" s="33">
        <f>(C670*1.1238938053)+(-4.4)</f>
        <v>40.555752212000002</v>
      </c>
      <c r="G670" s="33">
        <f>(C670*1.06194690265)+(-5.9)</f>
        <v>36.577876105999998</v>
      </c>
      <c r="H670" s="34">
        <f>(C670*1.19469026548)+(0)</f>
        <v>47.787610619200002</v>
      </c>
      <c r="I670" s="34">
        <f>(C670*1.16814159292)+(-2)</f>
        <v>44.7256637168</v>
      </c>
      <c r="J670" s="34">
        <f>(C670*1.1238938053)+(-3.9)</f>
        <v>41.055752212000002</v>
      </c>
      <c r="K670" s="34">
        <f>(C670*1.07964601769)+(-5.6)</f>
        <v>37.585840707599999</v>
      </c>
    </row>
    <row r="671" spans="1:11" s="21" customFormat="1" ht="19.95" customHeight="1" x14ac:dyDescent="0.25">
      <c r="A671" s="13" t="str">
        <f>"76115"</f>
        <v>76115</v>
      </c>
      <c r="B671" s="14" t="s">
        <v>1018</v>
      </c>
      <c r="C671" s="13" t="str">
        <f>"30.8"</f>
        <v>30.8</v>
      </c>
      <c r="D671" s="32">
        <f>(C671*1.24778761061)+(0.4)</f>
        <v>38.831858406788001</v>
      </c>
      <c r="E671" s="33">
        <f>(C671*1.16814159292)+(-1)</f>
        <v>34.978761061936005</v>
      </c>
      <c r="F671" s="33">
        <f>(C671*1.1238938053)+(-4.4)</f>
        <v>30.215929203240002</v>
      </c>
      <c r="G671" s="33">
        <f>(C671*1.06194690265)+(-5.9)</f>
        <v>26.80796460162</v>
      </c>
      <c r="H671" s="34">
        <f>(C671*1.19469026548)+(0)</f>
        <v>36.796460176784002</v>
      </c>
      <c r="I671" s="34">
        <f>(C671*1.16814159292)+(-2)</f>
        <v>33.978761061936005</v>
      </c>
      <c r="J671" s="34">
        <f>(C671*1.1238938053)+(-3.9)</f>
        <v>30.715929203240002</v>
      </c>
      <c r="K671" s="34">
        <f>(C671*1.07964601769)+(-5.6)</f>
        <v>27.653097344852</v>
      </c>
    </row>
    <row r="672" spans="1:11" s="21" customFormat="1" ht="19.95" customHeight="1" x14ac:dyDescent="0.25">
      <c r="A672" s="13" t="str">
        <f>"1011492"</f>
        <v>1011492</v>
      </c>
      <c r="B672" s="14" t="s">
        <v>1019</v>
      </c>
      <c r="C672" s="13" t="str">
        <f>"32.9"</f>
        <v>32.9</v>
      </c>
      <c r="D672" s="32">
        <f>(C672*1.24778761061)+(0.4)</f>
        <v>41.452212389068997</v>
      </c>
      <c r="E672" s="33">
        <f>(C672*1.16814159292)+(-1)</f>
        <v>37.431858407067999</v>
      </c>
      <c r="F672" s="33">
        <f>(C672*1.1238938053)+(-4.4)</f>
        <v>32.576106194369999</v>
      </c>
      <c r="G672" s="33">
        <f>(C672*1.06194690265)+(-5.9)</f>
        <v>29.038053097184999</v>
      </c>
      <c r="H672" s="34">
        <f>(C672*1.19469026548)+(0)</f>
        <v>39.305309734291995</v>
      </c>
      <c r="I672" s="34">
        <f>(C672*1.16814159292)+(-2)</f>
        <v>36.431858407067999</v>
      </c>
      <c r="J672" s="34">
        <f>(C672*1.1238938053)+(-3.9)</f>
        <v>33.076106194369999</v>
      </c>
      <c r="K672" s="34">
        <f>(C672*1.07964601769)+(-5.6)</f>
        <v>29.920353982000996</v>
      </c>
    </row>
    <row r="673" spans="1:11" s="21" customFormat="1" ht="19.95" customHeight="1" x14ac:dyDescent="0.25">
      <c r="A673" s="13" t="str">
        <f>"32725"</f>
        <v>32725</v>
      </c>
      <c r="B673" s="14" t="s">
        <v>1020</v>
      </c>
      <c r="C673" s="13" t="str">
        <f>"18.4"</f>
        <v>18.4</v>
      </c>
      <c r="D673" s="32">
        <f>(C673*1.24778761061)+(0.4)</f>
        <v>23.359292035223998</v>
      </c>
      <c r="E673" s="33">
        <f>(C673*1.16814159292)+(-1)</f>
        <v>20.493805309728</v>
      </c>
      <c r="F673" s="33">
        <f>(C673*1.1238938053)+(-4.4)</f>
        <v>16.279646017520001</v>
      </c>
      <c r="G673" s="33">
        <f>(C673*1.06194690265)+(-5.9)</f>
        <v>13.639823008759995</v>
      </c>
      <c r="H673" s="34">
        <f>(C673*1.19469026548)+(0)</f>
        <v>21.982300884832</v>
      </c>
      <c r="I673" s="34">
        <f>(C673*1.16814159292)+(-2)</f>
        <v>19.493805309728</v>
      </c>
      <c r="J673" s="34">
        <f>(C673*1.1238938053)+(-3.9)</f>
        <v>16.779646017520001</v>
      </c>
      <c r="K673" s="34">
        <f>(C673*1.07964601769)+(-5.6)</f>
        <v>14.265486725495998</v>
      </c>
    </row>
    <row r="674" spans="1:11" s="21" customFormat="1" ht="19.95" customHeight="1" x14ac:dyDescent="0.25">
      <c r="A674" s="13" t="str">
        <f>"39798"</f>
        <v>39798</v>
      </c>
      <c r="B674" s="14" t="s">
        <v>1021</v>
      </c>
      <c r="C674" s="13" t="str">
        <f>"9.0"</f>
        <v>9.0</v>
      </c>
      <c r="D674" s="32">
        <f>(C674*1.24778761061)+(0.4)</f>
        <v>11.630088495490002</v>
      </c>
      <c r="E674" s="33">
        <f>(C674*1.16814159292)+(-1)</f>
        <v>9.5132743362800003</v>
      </c>
      <c r="F674" s="33">
        <f>(C674*1.1238938053)+(-4.4)</f>
        <v>5.7150442476999999</v>
      </c>
      <c r="G674" s="33">
        <f>(C674*1.06194690265)+(-5.9)</f>
        <v>3.6575221238499989</v>
      </c>
      <c r="H674" s="34">
        <f>(C674*1.19469026548)+(0)</f>
        <v>10.75221238932</v>
      </c>
      <c r="I674" s="34">
        <f>(C674*1.16814159292)+(-2)</f>
        <v>8.5132743362800003</v>
      </c>
      <c r="J674" s="34">
        <f>(C674*1.1238938053)+(-3.9)</f>
        <v>6.2150442476999999</v>
      </c>
      <c r="K674" s="34">
        <f>(C674*1.07964601769)+(-5.6)</f>
        <v>4.1168141592099996</v>
      </c>
    </row>
    <row r="675" spans="1:11" s="21" customFormat="1" ht="19.95" customHeight="1" x14ac:dyDescent="0.25">
      <c r="A675" s="13" t="str">
        <f>"70558"</f>
        <v>70558</v>
      </c>
      <c r="B675" s="14" t="s">
        <v>1022</v>
      </c>
      <c r="C675" s="13" t="str">
        <f>"13.0"</f>
        <v>13.0</v>
      </c>
      <c r="D675" s="32">
        <f>(C675*1.24778761061)+(0.4)</f>
        <v>16.621238937929999</v>
      </c>
      <c r="E675" s="33">
        <f>(C675*1.16814159292)+(-1)</f>
        <v>14.185840707960001</v>
      </c>
      <c r="F675" s="33">
        <f>(C675*1.1238938053)+(-4.4)</f>
        <v>10.210619468900001</v>
      </c>
      <c r="G675" s="33">
        <f>(C675*1.06194690265)+(-5.9)</f>
        <v>7.9053097344499985</v>
      </c>
      <c r="H675" s="34">
        <f>(C675*1.19469026548)+(0)</f>
        <v>15.53097345124</v>
      </c>
      <c r="I675" s="34">
        <f>(C675*1.16814159292)+(-2)</f>
        <v>13.185840707960001</v>
      </c>
      <c r="J675" s="34">
        <f>(C675*1.1238938053)+(-3.9)</f>
        <v>10.710619468900001</v>
      </c>
      <c r="K675" s="34">
        <f>(C675*1.07964601769)+(-5.6)</f>
        <v>8.4353982299699997</v>
      </c>
    </row>
    <row r="676" spans="1:11" s="21" customFormat="1" ht="19.95" customHeight="1" x14ac:dyDescent="0.25">
      <c r="A676" s="13" t="str">
        <f>"80720"</f>
        <v>80720</v>
      </c>
      <c r="B676" s="14" t="s">
        <v>1023</v>
      </c>
      <c r="C676" s="13" t="str">
        <f>"21.9"</f>
        <v>21.9</v>
      </c>
      <c r="D676" s="32">
        <f>(C676*1.24778761061)+(0.4)</f>
        <v>27.726548672358998</v>
      </c>
      <c r="E676" s="33">
        <f>(C676*1.16814159292)+(-1)</f>
        <v>24.582300884948001</v>
      </c>
      <c r="F676" s="33">
        <f>(C676*1.1238938053)+(-4.4)</f>
        <v>20.21327433607</v>
      </c>
      <c r="G676" s="33">
        <f>(C676*1.06194690265)+(-5.9)</f>
        <v>17.356637168034993</v>
      </c>
      <c r="H676" s="34">
        <f>(C676*1.19469026548)+(0)</f>
        <v>26.163716814011998</v>
      </c>
      <c r="I676" s="34">
        <f>(C676*1.16814159292)+(-2)</f>
        <v>23.582300884948001</v>
      </c>
      <c r="J676" s="34">
        <f>(C676*1.1238938053)+(-3.9)</f>
        <v>20.71327433607</v>
      </c>
      <c r="K676" s="34">
        <f>(C676*1.07964601769)+(-5.6)</f>
        <v>18.044247787411003</v>
      </c>
    </row>
    <row r="677" spans="1:11" s="21" customFormat="1" ht="19.95" customHeight="1" x14ac:dyDescent="0.25">
      <c r="A677" s="13" t="str">
        <f>"50598"</f>
        <v>50598</v>
      </c>
      <c r="B677" s="14" t="s">
        <v>1024</v>
      </c>
      <c r="C677" s="13" t="str">
        <f>"2.7"</f>
        <v>2.7</v>
      </c>
      <c r="D677" s="32">
        <f>(C677*1.24778761061)+(0.4)</f>
        <v>3.7690265486470005</v>
      </c>
      <c r="E677" s="33">
        <f>(C677*1.16814159292)+(-1)</f>
        <v>2.1539823008840004</v>
      </c>
      <c r="F677" s="33">
        <f>(C677*1.1238938053)+(-4.4)</f>
        <v>-1.3654867256899998</v>
      </c>
      <c r="G677" s="33">
        <f>(C677*1.06194690265)+(-5.9)</f>
        <v>-3.0327433628450002</v>
      </c>
      <c r="H677" s="34">
        <f>(C677*1.19469026548)+(0)</f>
        <v>3.2256637167960003</v>
      </c>
      <c r="I677" s="34">
        <f>(C677*1.16814159292)+(-2)</f>
        <v>1.1539823008840004</v>
      </c>
      <c r="J677" s="34">
        <f>(C677*1.1238938053)+(-3.9)</f>
        <v>-0.8654867256899994</v>
      </c>
      <c r="K677" s="34">
        <f>(C677*1.07964601769)+(-5.6)</f>
        <v>-2.6849557522369993</v>
      </c>
    </row>
    <row r="678" spans="1:11" s="21" customFormat="1" ht="19.95" customHeight="1" x14ac:dyDescent="0.25">
      <c r="A678" s="13" t="str">
        <f>"1004548"</f>
        <v>1004548</v>
      </c>
      <c r="B678" s="14" t="s">
        <v>1025</v>
      </c>
      <c r="C678" s="13" t="str">
        <f>"18.8"</f>
        <v>18.8</v>
      </c>
      <c r="D678" s="32">
        <f>(C678*1.24778761061)+(0.4)</f>
        <v>23.858407079468002</v>
      </c>
      <c r="E678" s="33">
        <f>(C678*1.16814159292)+(-1)</f>
        <v>20.961061946896002</v>
      </c>
      <c r="F678" s="33">
        <f>(C678*1.1238938053)+(-4.4)</f>
        <v>16.729203539640004</v>
      </c>
      <c r="G678" s="33">
        <f>(C678*1.06194690265)+(-5.9)</f>
        <v>14.064601769819999</v>
      </c>
      <c r="H678" s="34">
        <f>(C678*1.19469026548)+(0)</f>
        <v>22.460176991023999</v>
      </c>
      <c r="I678" s="34">
        <f>(C678*1.16814159292)+(-2)</f>
        <v>19.961061946896002</v>
      </c>
      <c r="J678" s="34">
        <f>(C678*1.1238938053)+(-3.9)</f>
        <v>17.229203539640004</v>
      </c>
      <c r="K678" s="34">
        <f>(C678*1.07964601769)+(-5.6)</f>
        <v>14.697345132572002</v>
      </c>
    </row>
    <row r="679" spans="1:11" s="21" customFormat="1" ht="19.95" customHeight="1" x14ac:dyDescent="0.25">
      <c r="A679" s="13" t="str">
        <f>"16224"</f>
        <v>16224</v>
      </c>
      <c r="B679" s="14" t="s">
        <v>1026</v>
      </c>
      <c r="C679" s="13" t="str">
        <f>"11.2"</f>
        <v>11.2</v>
      </c>
      <c r="D679" s="32">
        <f>(C679*1.24778761061)+(0.4)</f>
        <v>14.375221238832001</v>
      </c>
      <c r="E679" s="33">
        <f>(C679*1.16814159292)+(-1)</f>
        <v>12.083185840704001</v>
      </c>
      <c r="F679" s="33">
        <f>(C679*1.1238938053)+(-4.4)</f>
        <v>8.1876106193599991</v>
      </c>
      <c r="G679" s="33">
        <f>(C679*1.06194690265)+(-5.9)</f>
        <v>5.9938053096799973</v>
      </c>
      <c r="H679" s="34">
        <f>(C679*1.19469026548)+(0)</f>
        <v>13.380530973375999</v>
      </c>
      <c r="I679" s="34">
        <f>(C679*1.16814159292)+(-2)</f>
        <v>11.083185840704001</v>
      </c>
      <c r="J679" s="34">
        <f>(C679*1.1238938053)+(-3.9)</f>
        <v>8.6876106193599991</v>
      </c>
      <c r="K679" s="34">
        <f>(C679*1.07964601769)+(-5.6)</f>
        <v>6.4920353981279995</v>
      </c>
    </row>
    <row r="680" spans="1:11" s="21" customFormat="1" ht="19.95" customHeight="1" x14ac:dyDescent="0.25">
      <c r="A680" s="13" t="str">
        <f>"43866"</f>
        <v>43866</v>
      </c>
      <c r="B680" s="14" t="s">
        <v>1027</v>
      </c>
      <c r="C680" s="13" t="str">
        <f>"16.9"</f>
        <v>16.9</v>
      </c>
      <c r="D680" s="32">
        <f>(C680*1.24778761061)+(0.4)</f>
        <v>21.487610619308999</v>
      </c>
      <c r="E680" s="33">
        <f>(C680*1.16814159292)+(-1)</f>
        <v>18.741592920348001</v>
      </c>
      <c r="F680" s="33">
        <f>(C680*1.1238938053)+(-4.4)</f>
        <v>14.59380530957</v>
      </c>
      <c r="G680" s="33">
        <f>(C680*1.06194690265)+(-5.9)</f>
        <v>12.046902654784995</v>
      </c>
      <c r="H680" s="34">
        <f>(C680*1.19469026548)+(0)</f>
        <v>20.190265486611999</v>
      </c>
      <c r="I680" s="34">
        <f>(C680*1.16814159292)+(-2)</f>
        <v>17.741592920348001</v>
      </c>
      <c r="J680" s="34">
        <f>(C680*1.1238938053)+(-3.9)</f>
        <v>15.09380530957</v>
      </c>
      <c r="K680" s="34">
        <f>(C680*1.07964601769)+(-5.6)</f>
        <v>12.646017698960998</v>
      </c>
    </row>
    <row r="681" spans="1:11" s="21" customFormat="1" ht="19.95" customHeight="1" x14ac:dyDescent="0.25">
      <c r="A681" s="13" t="str">
        <f>"77644"</f>
        <v>77644</v>
      </c>
      <c r="B681" s="14" t="s">
        <v>1028</v>
      </c>
      <c r="C681" s="13" t="str">
        <f>"16.3"</f>
        <v>16.3</v>
      </c>
      <c r="D681" s="32">
        <f>(C681*1.24778761061)+(0.4)</f>
        <v>20.738938052943002</v>
      </c>
      <c r="E681" s="33">
        <f>(C681*1.16814159292)+(-1)</f>
        <v>18.040707964596002</v>
      </c>
      <c r="F681" s="33">
        <f>(C681*1.1238938053)+(-4.4)</f>
        <v>13.919469026390002</v>
      </c>
      <c r="G681" s="33">
        <f>(C681*1.06194690265)+(-5.9)</f>
        <v>11.409734513195</v>
      </c>
      <c r="H681" s="34">
        <f>(C681*1.19469026548)+(0)</f>
        <v>19.473451327324</v>
      </c>
      <c r="I681" s="34">
        <f>(C681*1.16814159292)+(-2)</f>
        <v>17.040707964596002</v>
      </c>
      <c r="J681" s="34">
        <f>(C681*1.1238938053)+(-3.9)</f>
        <v>14.419469026390002</v>
      </c>
      <c r="K681" s="34">
        <f>(C681*1.07964601769)+(-5.6)</f>
        <v>11.998230088347002</v>
      </c>
    </row>
    <row r="682" spans="1:11" s="21" customFormat="1" ht="19.95" customHeight="1" x14ac:dyDescent="0.25">
      <c r="A682" s="13" t="str">
        <f>"54448"</f>
        <v>54448</v>
      </c>
      <c r="B682" s="14" t="s">
        <v>1029</v>
      </c>
      <c r="C682" s="13" t="str">
        <f>"14.0"</f>
        <v>14.0</v>
      </c>
      <c r="D682" s="32">
        <f>(C682*1.24778761061)+(0.4)</f>
        <v>17.869026548539999</v>
      </c>
      <c r="E682" s="33">
        <f>(C682*1.16814159292)+(-1)</f>
        <v>15.353982300880002</v>
      </c>
      <c r="F682" s="33">
        <f>(C682*1.1238938053)+(-4.4)</f>
        <v>11.334513274200001</v>
      </c>
      <c r="G682" s="33">
        <f>(C682*1.06194690265)+(-5.9)</f>
        <v>8.9672566370999984</v>
      </c>
      <c r="H682" s="34">
        <f>(C682*1.19469026548)+(0)</f>
        <v>16.72566371672</v>
      </c>
      <c r="I682" s="34">
        <f>(C682*1.16814159292)+(-2)</f>
        <v>14.353982300880002</v>
      </c>
      <c r="J682" s="34">
        <f>(C682*1.1238938053)+(-3.9)</f>
        <v>11.834513274200001</v>
      </c>
      <c r="K682" s="34">
        <f>(C682*1.07964601769)+(-5.6)</f>
        <v>9.5150442476600006</v>
      </c>
    </row>
    <row r="683" spans="1:11" s="21" customFormat="1" ht="19.95" customHeight="1" x14ac:dyDescent="0.25">
      <c r="A683" s="13" t="str">
        <f>"1011281"</f>
        <v>1011281</v>
      </c>
      <c r="B683" s="14" t="s">
        <v>1030</v>
      </c>
      <c r="C683" s="13" t="str">
        <f>"12.2"</f>
        <v>12.2</v>
      </c>
      <c r="D683" s="32">
        <f>(C683*1.24778761061)+(0.4)</f>
        <v>15.623008849442</v>
      </c>
      <c r="E683" s="33">
        <f>(C683*1.16814159292)+(-1)</f>
        <v>13.251327433624001</v>
      </c>
      <c r="F683" s="33">
        <f>(C683*1.1238938053)+(-4.4)</f>
        <v>9.3115044246599989</v>
      </c>
      <c r="G683" s="33">
        <f>(C683*1.06194690265)+(-5.9)</f>
        <v>7.0557522123299972</v>
      </c>
      <c r="H683" s="34">
        <f>(C683*1.19469026548)+(0)</f>
        <v>14.575221238855999</v>
      </c>
      <c r="I683" s="34">
        <f>(C683*1.16814159292)+(-2)</f>
        <v>12.251327433624001</v>
      </c>
      <c r="J683" s="34">
        <f>(C683*1.1238938053)+(-3.9)</f>
        <v>9.8115044246599989</v>
      </c>
      <c r="K683" s="34">
        <f>(C683*1.07964601769)+(-5.6)</f>
        <v>7.5716814158180004</v>
      </c>
    </row>
    <row r="684" spans="1:11" s="21" customFormat="1" ht="19.95" customHeight="1" x14ac:dyDescent="0.25">
      <c r="A684" s="13" t="str">
        <f>"1006542"</f>
        <v>1006542</v>
      </c>
      <c r="B684" s="14" t="s">
        <v>1031</v>
      </c>
      <c r="C684" s="13" t="str">
        <f>"11.9"</f>
        <v>11.9</v>
      </c>
      <c r="D684" s="32">
        <f>(C684*1.24778761061)+(0.4)</f>
        <v>15.248672566259001</v>
      </c>
      <c r="E684" s="33">
        <f>(C684*1.16814159292)+(-1)</f>
        <v>12.900884955748001</v>
      </c>
      <c r="F684" s="33">
        <f>(C684*1.1238938053)+(-4.4)</f>
        <v>8.9743362830700004</v>
      </c>
      <c r="G684" s="33">
        <f>(C684*1.06194690265)+(-5.9)</f>
        <v>6.7371681415349993</v>
      </c>
      <c r="H684" s="34">
        <f>(C684*1.19469026548)+(0)</f>
        <v>14.216814159212001</v>
      </c>
      <c r="I684" s="34">
        <f>(C684*1.16814159292)+(-2)</f>
        <v>11.900884955748001</v>
      </c>
      <c r="J684" s="34">
        <f>(C684*1.1238938053)+(-3.9)</f>
        <v>9.4743362830700004</v>
      </c>
      <c r="K684" s="34">
        <f>(C684*1.07964601769)+(-5.6)</f>
        <v>7.2477876105110006</v>
      </c>
    </row>
    <row r="685" spans="1:11" s="21" customFormat="1" ht="19.95" customHeight="1" x14ac:dyDescent="0.25">
      <c r="A685" s="13" t="str">
        <f>"16230"</f>
        <v>16230</v>
      </c>
      <c r="B685" s="14" t="s">
        <v>1032</v>
      </c>
      <c r="C685" s="13" t="str">
        <f>"21.0"</f>
        <v>21.0</v>
      </c>
      <c r="D685" s="32">
        <f>(C685*1.24778761061)+(0.4)</f>
        <v>26.603539822809999</v>
      </c>
      <c r="E685" s="33">
        <f>(C685*1.16814159292)+(-1)</f>
        <v>23.530973451320001</v>
      </c>
      <c r="F685" s="33">
        <f>(C685*1.1238938053)+(-4.4)</f>
        <v>19.201769911299998</v>
      </c>
      <c r="G685" s="33">
        <f>(C685*1.06194690265)+(-5.9)</f>
        <v>16.40088495565</v>
      </c>
      <c r="H685" s="34">
        <f>(C685*1.19469026548)+(0)</f>
        <v>25.08849557508</v>
      </c>
      <c r="I685" s="34">
        <f>(C685*1.16814159292)+(-2)</f>
        <v>22.530973451320001</v>
      </c>
      <c r="J685" s="34">
        <f>(C685*1.1238938053)+(-3.9)</f>
        <v>19.701769911300001</v>
      </c>
      <c r="K685" s="34">
        <f>(C685*1.07964601769)+(-5.6)</f>
        <v>17.072566371489998</v>
      </c>
    </row>
    <row r="686" spans="1:11" s="21" customFormat="1" ht="19.95" customHeight="1" x14ac:dyDescent="0.25">
      <c r="A686" s="13" t="str">
        <f>"50141"</f>
        <v>50141</v>
      </c>
      <c r="B686" s="14" t="s">
        <v>1033</v>
      </c>
      <c r="C686" s="13" t="str">
        <f>"+1.3"</f>
        <v>+1.3</v>
      </c>
      <c r="D686" s="32">
        <f>(C686*1.24778761061)+(0.4)</f>
        <v>2.0221238937930002</v>
      </c>
      <c r="E686" s="33">
        <f>(C686*1.16814159292)+(-1)</f>
        <v>0.51858407079600011</v>
      </c>
      <c r="F686" s="33">
        <f>(C686*1.1238938053)+(-4.4)</f>
        <v>-2.9389380531100002</v>
      </c>
      <c r="G686" s="33">
        <f>(C686*1.06194690265)+(-5.9)</f>
        <v>-4.5194690265550008</v>
      </c>
      <c r="H686" s="34">
        <f>(C686*1.19469026548)+(0)</f>
        <v>1.553097345124</v>
      </c>
      <c r="I686" s="34">
        <f>(C686*1.16814159292)+(-2)</f>
        <v>-0.48141592920399989</v>
      </c>
      <c r="J686" s="34">
        <f>(C686*1.1238938053)+(-3.9)</f>
        <v>-2.4389380531099998</v>
      </c>
      <c r="K686" s="34">
        <f>(C686*1.07964601769)+(-5.6)</f>
        <v>-4.1964601770029999</v>
      </c>
    </row>
    <row r="687" spans="1:11" s="21" customFormat="1" ht="19.95" customHeight="1" x14ac:dyDescent="0.25">
      <c r="A687" s="13" t="str">
        <f>"61955"</f>
        <v>61955</v>
      </c>
      <c r="B687" s="14" t="s">
        <v>1034</v>
      </c>
      <c r="C687" s="13" t="str">
        <f>"+1.0"</f>
        <v>+1.0</v>
      </c>
      <c r="D687" s="32">
        <f>(C687*1.24778761061)+(0.4)</f>
        <v>1.64778761061</v>
      </c>
      <c r="E687" s="33">
        <f>(C687*1.16814159292)+(-1)</f>
        <v>0.16814159292000008</v>
      </c>
      <c r="F687" s="33">
        <f>(C687*1.1238938053)+(-4.4)</f>
        <v>-3.2761061947000005</v>
      </c>
      <c r="G687" s="33">
        <f>(C687*1.06194690265)+(-5.9)</f>
        <v>-4.8380530973500004</v>
      </c>
      <c r="H687" s="34">
        <f>(C687*1.19469026548)+(0)</f>
        <v>1.19469026548</v>
      </c>
      <c r="I687" s="34">
        <f>(C687*1.16814159292)+(-2)</f>
        <v>-0.83185840707999992</v>
      </c>
      <c r="J687" s="34">
        <f>(C687*1.1238938053)+(-3.9)</f>
        <v>-2.7761061946999996</v>
      </c>
      <c r="K687" s="34">
        <f>(C687*1.07964601769)+(-5.6)</f>
        <v>-4.5203539823099996</v>
      </c>
    </row>
    <row r="688" spans="1:11" s="21" customFormat="1" ht="19.95" customHeight="1" x14ac:dyDescent="0.25">
      <c r="A688" s="13" t="str">
        <f>"73312"</f>
        <v>73312</v>
      </c>
      <c r="B688" s="14" t="s">
        <v>1035</v>
      </c>
      <c r="C688" s="13" t="str">
        <f>"12.6"</f>
        <v>12.6</v>
      </c>
      <c r="D688" s="32">
        <f>(C688*1.24778761061)+(0.4)</f>
        <v>16.122123893686002</v>
      </c>
      <c r="E688" s="33">
        <f>(C688*1.16814159292)+(-1)</f>
        <v>13.718584070792001</v>
      </c>
      <c r="F688" s="33">
        <f>(C688*1.1238938053)+(-4.4)</f>
        <v>9.7610619467799999</v>
      </c>
      <c r="G688" s="33">
        <f>(C688*1.06194690265)+(-5.9)</f>
        <v>7.4805309733899978</v>
      </c>
      <c r="H688" s="34">
        <f>(C688*1.19469026548)+(0)</f>
        <v>15.053097345048</v>
      </c>
      <c r="I688" s="34">
        <f>(C688*1.16814159292)+(-2)</f>
        <v>12.718584070792001</v>
      </c>
      <c r="J688" s="34">
        <f>(C688*1.1238938053)+(-3.9)</f>
        <v>10.26106194678</v>
      </c>
      <c r="K688" s="34">
        <f>(C688*1.07964601769)+(-5.6)</f>
        <v>8.003539822894</v>
      </c>
    </row>
    <row r="689" spans="1:11" s="21" customFormat="1" ht="19.95" customHeight="1" x14ac:dyDescent="0.25">
      <c r="A689" s="13" t="str">
        <f>"16232"</f>
        <v>16232</v>
      </c>
      <c r="B689" s="14" t="s">
        <v>1036</v>
      </c>
      <c r="C689" s="13" t="str">
        <f>"14.3"</f>
        <v>14.3</v>
      </c>
      <c r="D689" s="32">
        <f>(C689*1.24778761061)+(0.4)</f>
        <v>18.243362831723001</v>
      </c>
      <c r="E689" s="33">
        <f>(C689*1.16814159292)+(-1)</f>
        <v>15.704424778756003</v>
      </c>
      <c r="F689" s="33">
        <f>(C689*1.1238938053)+(-4.4)</f>
        <v>11.671681415790003</v>
      </c>
      <c r="G689" s="33">
        <f>(C689*1.06194690265)+(-5.9)</f>
        <v>9.2858407078949998</v>
      </c>
      <c r="H689" s="34">
        <f>(C689*1.19469026548)+(0)</f>
        <v>17.084070796363999</v>
      </c>
      <c r="I689" s="34">
        <f>(C689*1.16814159292)+(-2)</f>
        <v>14.704424778756003</v>
      </c>
      <c r="J689" s="34">
        <f>(C689*1.1238938053)+(-3.9)</f>
        <v>12.171681415790003</v>
      </c>
      <c r="K689" s="34">
        <f>(C689*1.07964601769)+(-5.6)</f>
        <v>9.8389380529670021</v>
      </c>
    </row>
    <row r="690" spans="1:11" s="21" customFormat="1" ht="19.95" customHeight="1" x14ac:dyDescent="0.25">
      <c r="A690" s="13" t="str">
        <f>"7635"</f>
        <v>7635</v>
      </c>
      <c r="B690" s="14" t="s">
        <v>1037</v>
      </c>
      <c r="C690" s="13" t="str">
        <f>"3.9"</f>
        <v>3.9</v>
      </c>
      <c r="D690" s="32">
        <f>(C690*1.24778761061)+(0.4)</f>
        <v>5.2663716813790007</v>
      </c>
      <c r="E690" s="33">
        <f>(C690*1.16814159292)+(-1)</f>
        <v>3.5557522123880005</v>
      </c>
      <c r="F690" s="33">
        <f>(C690*1.1238938053)+(-4.4)</f>
        <v>-1.6814159329999967E-2</v>
      </c>
      <c r="G690" s="33">
        <f>(C690*1.06194690265)+(-5.9)</f>
        <v>-1.7584070796650009</v>
      </c>
      <c r="H690" s="34">
        <f>(C690*1.19469026548)+(0)</f>
        <v>4.6592920353720002</v>
      </c>
      <c r="I690" s="34">
        <f>(C690*1.16814159292)+(-2)</f>
        <v>2.5557522123880005</v>
      </c>
      <c r="J690" s="34">
        <f>(C690*1.1238938053)+(-3.9)</f>
        <v>0.48318584067000048</v>
      </c>
      <c r="K690" s="34">
        <f>(C690*1.07964601769)+(-5.6)</f>
        <v>-1.3893805310089995</v>
      </c>
    </row>
    <row r="691" spans="1:11" s="21" customFormat="1" ht="19.95" customHeight="1" x14ac:dyDescent="0.25">
      <c r="A691" s="13" t="str">
        <f>"66124"</f>
        <v>66124</v>
      </c>
      <c r="B691" s="14" t="s">
        <v>1038</v>
      </c>
      <c r="C691" s="13" t="str">
        <f>"18.7"</f>
        <v>18.7</v>
      </c>
      <c r="D691" s="32">
        <f>(C691*1.24778761061)+(0.4)</f>
        <v>23.733628318407</v>
      </c>
      <c r="E691" s="33">
        <f>(C691*1.16814159292)+(-1)</f>
        <v>20.844247787604001</v>
      </c>
      <c r="F691" s="33">
        <f>(C691*1.1238938053)+(-4.4)</f>
        <v>16.61681415911</v>
      </c>
      <c r="G691" s="33">
        <f>(C691*1.06194690265)+(-5.9)</f>
        <v>13.958407079554997</v>
      </c>
      <c r="H691" s="34">
        <f>(C691*1.19469026548)+(0)</f>
        <v>22.340707964476</v>
      </c>
      <c r="I691" s="34">
        <f>(C691*1.16814159292)+(-2)</f>
        <v>19.844247787604001</v>
      </c>
      <c r="J691" s="34">
        <f>(C691*1.1238938053)+(-3.9)</f>
        <v>17.116814159110003</v>
      </c>
      <c r="K691" s="34">
        <f>(C691*1.07964601769)+(-5.6)</f>
        <v>14.589380530803</v>
      </c>
    </row>
    <row r="692" spans="1:11" s="21" customFormat="1" ht="19.95" customHeight="1" x14ac:dyDescent="0.25">
      <c r="A692" s="13" t="str">
        <f>"1015568"</f>
        <v>1015568</v>
      </c>
      <c r="B692" s="14" t="s">
        <v>1039</v>
      </c>
      <c r="C692" s="13" t="str">
        <f>"14.1"</f>
        <v>14.1</v>
      </c>
      <c r="D692" s="32">
        <f>(C692*1.24778761061)+(0.4)</f>
        <v>17.993805309601001</v>
      </c>
      <c r="E692" s="33">
        <f>(C692*1.16814159292)+(-1)</f>
        <v>15.470796460172</v>
      </c>
      <c r="F692" s="33">
        <f>(C692*1.1238938053)+(-4.4)</f>
        <v>11.44690265473</v>
      </c>
      <c r="G692" s="33">
        <f>(C692*1.06194690265)+(-5.9)</f>
        <v>9.0734513273649977</v>
      </c>
      <c r="H692" s="34">
        <f>(C692*1.19469026548)+(0)</f>
        <v>16.845132743268</v>
      </c>
      <c r="I692" s="34">
        <f>(C692*1.16814159292)+(-2)</f>
        <v>14.470796460172</v>
      </c>
      <c r="J692" s="34">
        <f>(C692*1.1238938053)+(-3.9)</f>
        <v>11.94690265473</v>
      </c>
      <c r="K692" s="34">
        <f>(C692*1.07964601769)+(-5.6)</f>
        <v>9.6230088494290005</v>
      </c>
    </row>
    <row r="693" spans="1:11" s="21" customFormat="1" ht="19.95" customHeight="1" x14ac:dyDescent="0.25">
      <c r="A693" s="13" t="str">
        <f>"23157"</f>
        <v>23157</v>
      </c>
      <c r="B693" s="14" t="s">
        <v>1040</v>
      </c>
      <c r="C693" s="13" t="str">
        <f>"3.5"</f>
        <v>3.5</v>
      </c>
      <c r="D693" s="32">
        <f>(C693*1.24778761061)+(0.4)</f>
        <v>4.7672566371350005</v>
      </c>
      <c r="E693" s="33">
        <f>(C693*1.16814159292)+(-1)</f>
        <v>3.0884955752200005</v>
      </c>
      <c r="F693" s="33">
        <f>(C693*1.1238938053)+(-4.4)</f>
        <v>-0.46637168145000008</v>
      </c>
      <c r="G693" s="33">
        <f>(C693*1.06194690265)+(-5.9)</f>
        <v>-2.1831858407250007</v>
      </c>
      <c r="H693" s="34">
        <f>(C693*1.19469026548)+(0)</f>
        <v>4.1814159291799999</v>
      </c>
      <c r="I693" s="34">
        <f>(C693*1.16814159292)+(-2)</f>
        <v>2.0884955752200005</v>
      </c>
      <c r="J693" s="34">
        <f>(C693*1.1238938053)+(-3.9)</f>
        <v>3.3628318550000369E-2</v>
      </c>
      <c r="K693" s="34">
        <f>(C693*1.07964601769)+(-5.6)</f>
        <v>-1.8212389380849996</v>
      </c>
    </row>
    <row r="694" spans="1:11" s="21" customFormat="1" ht="19.95" customHeight="1" x14ac:dyDescent="0.25">
      <c r="A694" s="13" t="str">
        <f>"68921"</f>
        <v>68921</v>
      </c>
      <c r="B694" s="14" t="s">
        <v>1041</v>
      </c>
      <c r="C694" s="13" t="str">
        <f>"15.5"</f>
        <v>15.5</v>
      </c>
      <c r="D694" s="32">
        <f>(C694*1.24778761061)+(0.4)</f>
        <v>19.740707964455002</v>
      </c>
      <c r="E694" s="33">
        <f>(C694*1.16814159292)+(-1)</f>
        <v>17.106194690260001</v>
      </c>
      <c r="F694" s="33">
        <f>(C694*1.1238938053)+(-4.4)</f>
        <v>13.020353982150001</v>
      </c>
      <c r="G694" s="33">
        <f>(C694*1.06194690265)+(-5.9)</f>
        <v>10.560176991074998</v>
      </c>
      <c r="H694" s="34">
        <f>(C694*1.19469026548)+(0)</f>
        <v>18.517699114940001</v>
      </c>
      <c r="I694" s="34">
        <f>(C694*1.16814159292)+(-2)</f>
        <v>16.106194690260001</v>
      </c>
      <c r="J694" s="34">
        <f>(C694*1.1238938053)+(-3.9)</f>
        <v>13.520353982150001</v>
      </c>
      <c r="K694" s="34">
        <f>(C694*1.07964601769)+(-5.6)</f>
        <v>11.134513274194999</v>
      </c>
    </row>
    <row r="695" spans="1:11" s="21" customFormat="1" ht="19.95" customHeight="1" x14ac:dyDescent="0.25">
      <c r="A695" s="13" t="str">
        <f>"1015129"</f>
        <v>1015129</v>
      </c>
      <c r="B695" s="14" t="s">
        <v>1042</v>
      </c>
      <c r="C695" s="13" t="str">
        <f>"17.2"</f>
        <v>17.2</v>
      </c>
      <c r="D695" s="32">
        <f>(C695*1.24778761061)+(0.4)</f>
        <v>21.861946902492001</v>
      </c>
      <c r="E695" s="33">
        <f>(C695*1.16814159292)+(-1)</f>
        <v>19.092035398224002</v>
      </c>
      <c r="F695" s="33">
        <f>(C695*1.1238938053)+(-4.4)</f>
        <v>14.930973451159998</v>
      </c>
      <c r="G695" s="33">
        <f>(C695*1.06194690265)+(-5.9)</f>
        <v>12.365486725579997</v>
      </c>
      <c r="H695" s="34">
        <f>(C695*1.19469026548)+(0)</f>
        <v>20.548672566255998</v>
      </c>
      <c r="I695" s="34">
        <f>(C695*1.16814159292)+(-2)</f>
        <v>18.092035398224002</v>
      </c>
      <c r="J695" s="34">
        <f>(C695*1.1238938053)+(-3.9)</f>
        <v>15.430973451159998</v>
      </c>
      <c r="K695" s="34">
        <f>(C695*1.07964601769)+(-5.6)</f>
        <v>12.969911504268</v>
      </c>
    </row>
    <row r="696" spans="1:11" s="21" customFormat="1" ht="19.95" customHeight="1" x14ac:dyDescent="0.25">
      <c r="A696" s="13" t="str">
        <f>"65783"</f>
        <v>65783</v>
      </c>
      <c r="B696" s="14" t="s">
        <v>1043</v>
      </c>
      <c r="C696" s="13" t="str">
        <f>"17.7"</f>
        <v>17.7</v>
      </c>
      <c r="D696" s="32">
        <f>(C696*1.24778761061)+(0.4)</f>
        <v>22.485840707796999</v>
      </c>
      <c r="E696" s="33">
        <f>(C696*1.16814159292)+(-1)</f>
        <v>19.676106194683999</v>
      </c>
      <c r="F696" s="33">
        <f>(C696*1.1238938053)+(-4.4)</f>
        <v>15.492920353809998</v>
      </c>
      <c r="G696" s="33">
        <f>(C696*1.06194690265)+(-5.9)</f>
        <v>12.896460176904997</v>
      </c>
      <c r="H696" s="34">
        <f>(C696*1.19469026548)+(0)</f>
        <v>21.146017698996001</v>
      </c>
      <c r="I696" s="34">
        <f>(C696*1.16814159292)+(-2)</f>
        <v>18.676106194683999</v>
      </c>
      <c r="J696" s="34">
        <f>(C696*1.1238938053)+(-3.9)</f>
        <v>15.992920353809998</v>
      </c>
      <c r="K696" s="34">
        <f>(C696*1.07964601769)+(-5.6)</f>
        <v>13.509734513113001</v>
      </c>
    </row>
    <row r="697" spans="1:11" s="21" customFormat="1" ht="19.95" customHeight="1" x14ac:dyDescent="0.25">
      <c r="A697" s="13" t="str">
        <f>"16244"</f>
        <v>16244</v>
      </c>
      <c r="B697" s="14" t="s">
        <v>1044</v>
      </c>
      <c r="C697" s="13" t="str">
        <f>"14.4"</f>
        <v>14.4</v>
      </c>
      <c r="D697" s="32">
        <f>(C697*1.24778761061)+(0.4)</f>
        <v>18.368141592783999</v>
      </c>
      <c r="E697" s="33">
        <f>(C697*1.16814159292)+(-1)</f>
        <v>15.821238938048001</v>
      </c>
      <c r="F697" s="33">
        <f>(C697*1.1238938053)+(-4.4)</f>
        <v>11.78407079632</v>
      </c>
      <c r="G697" s="33">
        <f>(C697*1.06194690265)+(-5.9)</f>
        <v>9.3920353981599991</v>
      </c>
      <c r="H697" s="34">
        <f>(C697*1.19469026548)+(0)</f>
        <v>17.203539822911999</v>
      </c>
      <c r="I697" s="34">
        <f>(C697*1.16814159292)+(-2)</f>
        <v>14.821238938048001</v>
      </c>
      <c r="J697" s="34">
        <f>(C697*1.1238938053)+(-3.9)</f>
        <v>12.28407079632</v>
      </c>
      <c r="K697" s="34">
        <f>(C697*1.07964601769)+(-5.6)</f>
        <v>9.9469026547360002</v>
      </c>
    </row>
    <row r="698" spans="1:11" s="21" customFormat="1" ht="19.95" customHeight="1" x14ac:dyDescent="0.25">
      <c r="A698" s="13" t="str">
        <f>"14393"</f>
        <v>14393</v>
      </c>
      <c r="B698" s="14" t="s">
        <v>1045</v>
      </c>
      <c r="C698" s="13" t="str">
        <f>"18.1"</f>
        <v>18.1</v>
      </c>
      <c r="D698" s="32">
        <f>(C698*1.24778761061)+(0.4)</f>
        <v>22.984955752041003</v>
      </c>
      <c r="E698" s="33">
        <f>(C698*1.16814159292)+(-1)</f>
        <v>20.143362831852002</v>
      </c>
      <c r="F698" s="33">
        <f>(C698*1.1238938053)+(-4.4)</f>
        <v>15.942477875930001</v>
      </c>
      <c r="G698" s="33">
        <f>(C698*1.06194690265)+(-5.9)</f>
        <v>13.321238937965001</v>
      </c>
      <c r="H698" s="34">
        <f>(C698*1.19469026548)+(0)</f>
        <v>21.623893805188001</v>
      </c>
      <c r="I698" s="34">
        <f>(C698*1.16814159292)+(-2)</f>
        <v>19.143362831852002</v>
      </c>
      <c r="J698" s="34">
        <f>(C698*1.1238938053)+(-3.9)</f>
        <v>16.442477875930003</v>
      </c>
      <c r="K698" s="34">
        <f>(C698*1.07964601769)+(-5.6)</f>
        <v>13.941592920189001</v>
      </c>
    </row>
    <row r="699" spans="1:11" s="21" customFormat="1" ht="19.95" customHeight="1" x14ac:dyDescent="0.25">
      <c r="A699" s="13" t="str">
        <f>"67226"</f>
        <v>67226</v>
      </c>
      <c r="B699" s="14" t="s">
        <v>1046</v>
      </c>
      <c r="C699" s="13" t="str">
        <f>"22.0"</f>
        <v>22.0</v>
      </c>
      <c r="D699" s="32">
        <f>(C699*1.24778761061)+(0.4)</f>
        <v>27.85132743342</v>
      </c>
      <c r="E699" s="33">
        <f>(C699*1.16814159292)+(-1)</f>
        <v>24.699115044240003</v>
      </c>
      <c r="F699" s="33">
        <f>(C699*1.1238938053)+(-4.4)</f>
        <v>20.325663716599998</v>
      </c>
      <c r="G699" s="33">
        <f>(C699*1.06194690265)+(-5.9)</f>
        <v>17.4628318583</v>
      </c>
      <c r="H699" s="34">
        <f>(C699*1.19469026548)+(0)</f>
        <v>26.283185840560002</v>
      </c>
      <c r="I699" s="34">
        <f>(C699*1.16814159292)+(-2)</f>
        <v>23.699115044240003</v>
      </c>
      <c r="J699" s="34">
        <f>(C699*1.1238938053)+(-3.9)</f>
        <v>20.825663716600001</v>
      </c>
      <c r="K699" s="34">
        <f>(C699*1.07964601769)+(-5.6)</f>
        <v>18.152212389180001</v>
      </c>
    </row>
    <row r="700" spans="1:11" s="21" customFormat="1" ht="19.95" customHeight="1" x14ac:dyDescent="0.25">
      <c r="A700" s="13" t="str">
        <f>"1000352"</f>
        <v>1000352</v>
      </c>
      <c r="B700" s="14" t="s">
        <v>1047</v>
      </c>
      <c r="C700" s="13" t="str">
        <f>"12.4"</f>
        <v>12.4</v>
      </c>
      <c r="D700" s="32">
        <f>(C700*1.24778761061)+(0.4)</f>
        <v>15.872566371564002</v>
      </c>
      <c r="E700" s="33">
        <f>(C700*1.16814159292)+(-1)</f>
        <v>13.484955752208002</v>
      </c>
      <c r="F700" s="33">
        <f>(C700*1.1238938053)+(-4.4)</f>
        <v>9.5362831857200003</v>
      </c>
      <c r="G700" s="33">
        <f>(C700*1.06194690265)+(-5.9)</f>
        <v>7.2681415928599993</v>
      </c>
      <c r="H700" s="34">
        <f>(C700*1.19469026548)+(0)</f>
        <v>14.814159291952</v>
      </c>
      <c r="I700" s="34">
        <f>(C700*1.16814159292)+(-2)</f>
        <v>12.484955752208002</v>
      </c>
      <c r="J700" s="34">
        <f>(C700*1.1238938053)+(-3.9)</f>
        <v>10.03628318572</v>
      </c>
      <c r="K700" s="34">
        <f>(C700*1.07964601769)+(-5.6)</f>
        <v>7.7876106193560002</v>
      </c>
    </row>
    <row r="701" spans="1:11" s="21" customFormat="1" ht="19.95" customHeight="1" x14ac:dyDescent="0.25">
      <c r="A701" s="13" t="str">
        <f>"1001082"</f>
        <v>1001082</v>
      </c>
      <c r="B701" s="14" t="s">
        <v>1048</v>
      </c>
      <c r="C701" s="13" t="str">
        <f>"21.7"</f>
        <v>21.7</v>
      </c>
      <c r="D701" s="32">
        <f>(C701*1.24778761061)+(0.4)</f>
        <v>27.476991150237001</v>
      </c>
      <c r="E701" s="33">
        <f>(C701*1.16814159292)+(-1)</f>
        <v>24.348672566364002</v>
      </c>
      <c r="F701" s="33">
        <f>(C701*1.1238938053)+(-4.4)</f>
        <v>19.988495575009999</v>
      </c>
      <c r="G701" s="33">
        <f>(C701*1.06194690265)+(-5.9)</f>
        <v>17.144247787504995</v>
      </c>
      <c r="H701" s="34">
        <f>(C701*1.19469026548)+(0)</f>
        <v>25.924778760915999</v>
      </c>
      <c r="I701" s="34">
        <f>(C701*1.16814159292)+(-2)</f>
        <v>23.348672566364002</v>
      </c>
      <c r="J701" s="34">
        <f>(C701*1.1238938053)+(-3.9)</f>
        <v>20.488495575010003</v>
      </c>
      <c r="K701" s="34">
        <f>(C701*1.07964601769)+(-5.6)</f>
        <v>17.828318583872999</v>
      </c>
    </row>
    <row r="702" spans="1:11" s="21" customFormat="1" ht="19.95" customHeight="1" x14ac:dyDescent="0.25">
      <c r="A702" s="13" t="str">
        <f>"31057"</f>
        <v>31057</v>
      </c>
      <c r="B702" s="14" t="s">
        <v>1049</v>
      </c>
      <c r="C702" s="13" t="str">
        <f>"18.8"</f>
        <v>18.8</v>
      </c>
      <c r="D702" s="32">
        <f>(C702*1.24778761061)+(0.4)</f>
        <v>23.858407079468002</v>
      </c>
      <c r="E702" s="33">
        <f>(C702*1.16814159292)+(-1)</f>
        <v>20.961061946896002</v>
      </c>
      <c r="F702" s="33">
        <f>(C702*1.1238938053)+(-4.4)</f>
        <v>16.729203539640004</v>
      </c>
      <c r="G702" s="33">
        <f>(C702*1.06194690265)+(-5.9)</f>
        <v>14.064601769819999</v>
      </c>
      <c r="H702" s="34">
        <f>(C702*1.19469026548)+(0)</f>
        <v>22.460176991023999</v>
      </c>
      <c r="I702" s="34">
        <f>(C702*1.16814159292)+(-2)</f>
        <v>19.961061946896002</v>
      </c>
      <c r="J702" s="34">
        <f>(C702*1.1238938053)+(-3.9)</f>
        <v>17.229203539640004</v>
      </c>
      <c r="K702" s="34">
        <f>(C702*1.07964601769)+(-5.6)</f>
        <v>14.697345132572002</v>
      </c>
    </row>
    <row r="703" spans="1:11" s="21" customFormat="1" ht="19.95" customHeight="1" x14ac:dyDescent="0.25">
      <c r="A703" s="13" t="str">
        <f>"39446"</f>
        <v>39446</v>
      </c>
      <c r="B703" s="14" t="s">
        <v>1050</v>
      </c>
      <c r="C703" s="13" t="str">
        <f>"28.0"</f>
        <v>28.0</v>
      </c>
      <c r="D703" s="32">
        <f>(C703*1.24778761061)+(0.4)</f>
        <v>35.33805309708</v>
      </c>
      <c r="E703" s="33">
        <f>(C703*1.16814159292)+(-1)</f>
        <v>31.707964601760004</v>
      </c>
      <c r="F703" s="33">
        <f>(C703*1.1238938053)+(-4.4)</f>
        <v>27.069026548400004</v>
      </c>
      <c r="G703" s="33">
        <f>(C703*1.06194690265)+(-5.9)</f>
        <v>23.834513274199999</v>
      </c>
      <c r="H703" s="34">
        <f>(C703*1.19469026548)+(0)</f>
        <v>33.451327433439999</v>
      </c>
      <c r="I703" s="34">
        <f>(C703*1.16814159292)+(-2)</f>
        <v>30.707964601760004</v>
      </c>
      <c r="J703" s="34">
        <f>(C703*1.1238938053)+(-3.9)</f>
        <v>27.569026548400004</v>
      </c>
      <c r="K703" s="34">
        <f>(C703*1.07964601769)+(-5.6)</f>
        <v>24.630088495320003</v>
      </c>
    </row>
    <row r="704" spans="1:11" s="21" customFormat="1" ht="19.95" customHeight="1" x14ac:dyDescent="0.25">
      <c r="A704" s="13" t="str">
        <f>"80560"</f>
        <v>80560</v>
      </c>
      <c r="B704" s="14" t="s">
        <v>1051</v>
      </c>
      <c r="C704" s="13" t="str">
        <f>"23.0"</f>
        <v>23.0</v>
      </c>
      <c r="D704" s="32">
        <f>(C704*1.24778761061)+(0.4)</f>
        <v>29.09911504403</v>
      </c>
      <c r="E704" s="33">
        <f>(C704*1.16814159292)+(-1)</f>
        <v>25.867256637160001</v>
      </c>
      <c r="F704" s="33">
        <f>(C704*1.1238938053)+(-4.4)</f>
        <v>21.449557521899997</v>
      </c>
      <c r="G704" s="33">
        <f>(C704*1.06194690265)+(-5.9)</f>
        <v>18.524778760949999</v>
      </c>
      <c r="H704" s="34">
        <f>(C704*1.19469026548)+(0)</f>
        <v>27.47787610604</v>
      </c>
      <c r="I704" s="34">
        <f>(C704*1.16814159292)+(-2)</f>
        <v>24.867256637160001</v>
      </c>
      <c r="J704" s="34">
        <f>(C704*1.1238938053)+(-3.9)</f>
        <v>21.949557521900001</v>
      </c>
      <c r="K704" s="34">
        <f>(C704*1.07964601769)+(-5.6)</f>
        <v>19.231858406870003</v>
      </c>
    </row>
    <row r="705" spans="1:11" s="21" customFormat="1" ht="19.95" customHeight="1" x14ac:dyDescent="0.25">
      <c r="A705" s="13" t="str">
        <f>"16250"</f>
        <v>16250</v>
      </c>
      <c r="B705" s="14" t="s">
        <v>1052</v>
      </c>
      <c r="C705" s="13" t="str">
        <f>"19.1"</f>
        <v>19.1</v>
      </c>
      <c r="D705" s="32">
        <f>(C705*1.24778761061)+(0.4)</f>
        <v>24.232743362651004</v>
      </c>
      <c r="E705" s="33">
        <f>(C705*1.16814159292)+(-1)</f>
        <v>21.311504424772004</v>
      </c>
      <c r="F705" s="33">
        <f>(C705*1.1238938053)+(-4.4)</f>
        <v>17.066371681230002</v>
      </c>
      <c r="G705" s="33">
        <f>(C705*1.06194690265)+(-5.9)</f>
        <v>14.383185840615001</v>
      </c>
      <c r="H705" s="34">
        <f>(C705*1.19469026548)+(0)</f>
        <v>22.818584070668003</v>
      </c>
      <c r="I705" s="34">
        <f>(C705*1.16814159292)+(-2)</f>
        <v>20.311504424772004</v>
      </c>
      <c r="J705" s="34">
        <f>(C705*1.1238938053)+(-3.9)</f>
        <v>17.566371681230002</v>
      </c>
      <c r="K705" s="34">
        <f>(C705*1.07964601769)+(-5.6)</f>
        <v>15.021238937879003</v>
      </c>
    </row>
    <row r="706" spans="1:11" s="21" customFormat="1" ht="19.95" customHeight="1" x14ac:dyDescent="0.25">
      <c r="A706" s="13" t="str">
        <f>"13952"</f>
        <v>13952</v>
      </c>
      <c r="B706" s="14" t="s">
        <v>1053</v>
      </c>
      <c r="C706" s="13" t="str">
        <f>"15.9"</f>
        <v>15.9</v>
      </c>
      <c r="D706" s="32">
        <f>(C706*1.24778761061)+(0.4)</f>
        <v>20.239823008699002</v>
      </c>
      <c r="E706" s="33">
        <f>(C706*1.16814159292)+(-1)</f>
        <v>17.573451327428003</v>
      </c>
      <c r="F706" s="33">
        <f>(C706*1.1238938053)+(-4.4)</f>
        <v>13.46991150427</v>
      </c>
      <c r="G706" s="33">
        <f>(C706*1.06194690265)+(-5.9)</f>
        <v>10.984955752134999</v>
      </c>
      <c r="H706" s="34">
        <f>(C706*1.19469026548)+(0)</f>
        <v>18.995575221132</v>
      </c>
      <c r="I706" s="34">
        <f>(C706*1.16814159292)+(-2)</f>
        <v>16.573451327428003</v>
      </c>
      <c r="J706" s="34">
        <f>(C706*1.1238938053)+(-3.9)</f>
        <v>13.96991150427</v>
      </c>
      <c r="K706" s="34">
        <f>(C706*1.07964601769)+(-5.6)</f>
        <v>11.566371681271002</v>
      </c>
    </row>
    <row r="707" spans="1:11" s="21" customFormat="1" ht="19.95" customHeight="1" x14ac:dyDescent="0.25">
      <c r="A707" s="13" t="str">
        <f>"16251"</f>
        <v>16251</v>
      </c>
      <c r="B707" s="14" t="s">
        <v>1054</v>
      </c>
      <c r="C707" s="13" t="str">
        <f>"17.9"</f>
        <v>17.9</v>
      </c>
      <c r="D707" s="32">
        <f>(C707*1.24778761061)+(0.4)</f>
        <v>22.735398229918999</v>
      </c>
      <c r="E707" s="33">
        <f>(C707*1.16814159292)+(-1)</f>
        <v>19.909734513267999</v>
      </c>
      <c r="F707" s="33">
        <f>(C707*1.1238938053)+(-4.4)</f>
        <v>15.717699114869999</v>
      </c>
      <c r="G707" s="33">
        <f>(C707*1.06194690265)+(-5.9)</f>
        <v>13.108849557434995</v>
      </c>
      <c r="H707" s="34">
        <f>(C707*1.19469026548)+(0)</f>
        <v>21.384955752091997</v>
      </c>
      <c r="I707" s="34">
        <f>(C707*1.16814159292)+(-2)</f>
        <v>18.909734513267999</v>
      </c>
      <c r="J707" s="34">
        <f>(C707*1.1238938053)+(-3.9)</f>
        <v>16.217699114870001</v>
      </c>
      <c r="K707" s="34">
        <f>(C707*1.07964601769)+(-5.6)</f>
        <v>13.725663716651001</v>
      </c>
    </row>
    <row r="708" spans="1:11" s="21" customFormat="1" ht="19.95" customHeight="1" x14ac:dyDescent="0.25">
      <c r="A708" s="13" t="str">
        <f>"40153"</f>
        <v>40153</v>
      </c>
      <c r="B708" s="14" t="s">
        <v>1055</v>
      </c>
      <c r="C708" s="13" t="str">
        <f>"37.3"</f>
        <v>37.3</v>
      </c>
      <c r="D708" s="32">
        <f>(C708*1.24778761061)+(0.4)</f>
        <v>46.942477875752999</v>
      </c>
      <c r="E708" s="33">
        <f>(C708*1.16814159292)+(-1)</f>
        <v>42.571681415915997</v>
      </c>
      <c r="F708" s="33">
        <f>(C708*1.1238938053)+(-4.4)</f>
        <v>37.521238937690001</v>
      </c>
      <c r="G708" s="33">
        <f>(C708*1.06194690265)+(-5.9)</f>
        <v>33.710619468844996</v>
      </c>
      <c r="H708" s="34">
        <f>(C708*1.19469026548)+(0)</f>
        <v>44.561946902403996</v>
      </c>
      <c r="I708" s="34">
        <f>(C708*1.16814159292)+(-2)</f>
        <v>41.571681415915997</v>
      </c>
      <c r="J708" s="34">
        <f>(C708*1.1238938053)+(-3.9)</f>
        <v>38.021238937690001</v>
      </c>
      <c r="K708" s="34">
        <f>(C708*1.07964601769)+(-5.6)</f>
        <v>34.670796459836993</v>
      </c>
    </row>
    <row r="709" spans="1:11" s="21" customFormat="1" ht="19.95" customHeight="1" x14ac:dyDescent="0.25">
      <c r="A709" s="13" t="str">
        <f>"73019"</f>
        <v>73019</v>
      </c>
      <c r="B709" s="14" t="s">
        <v>1056</v>
      </c>
      <c r="C709" s="13" t="str">
        <f>"19.5"</f>
        <v>19.5</v>
      </c>
      <c r="D709" s="32">
        <f>(C709*1.24778761061)+(0.4)</f>
        <v>24.731858406895</v>
      </c>
      <c r="E709" s="33">
        <f>(C709*1.16814159292)+(-1)</f>
        <v>21.778761061940003</v>
      </c>
      <c r="F709" s="33">
        <f>(C709*1.1238938053)+(-4.4)</f>
        <v>17.515929203349998</v>
      </c>
      <c r="G709" s="33">
        <f>(C709*1.06194690265)+(-5.9)</f>
        <v>14.807964601674998</v>
      </c>
      <c r="H709" s="34">
        <f>(C709*1.19469026548)+(0)</f>
        <v>23.296460176860002</v>
      </c>
      <c r="I709" s="34">
        <f>(C709*1.16814159292)+(-2)</f>
        <v>20.778761061940003</v>
      </c>
      <c r="J709" s="34">
        <f>(C709*1.1238938053)+(-3.9)</f>
        <v>18.015929203350002</v>
      </c>
      <c r="K709" s="34">
        <f>(C709*1.07964601769)+(-5.6)</f>
        <v>15.453097344954999</v>
      </c>
    </row>
    <row r="710" spans="1:11" s="21" customFormat="1" ht="19.95" customHeight="1" x14ac:dyDescent="0.25">
      <c r="A710" s="13" t="str">
        <f>"41460"</f>
        <v>41460</v>
      </c>
      <c r="B710" s="14" t="s">
        <v>1057</v>
      </c>
      <c r="C710" s="13" t="str">
        <f>"26.7"</f>
        <v>26.7</v>
      </c>
      <c r="D710" s="32">
        <f>(C710*1.24778761061)+(0.4)</f>
        <v>33.715929203286997</v>
      </c>
      <c r="E710" s="33">
        <f>(C710*1.16814159292)+(-1)</f>
        <v>30.189380530964002</v>
      </c>
      <c r="F710" s="33">
        <f>(C710*1.1238938053)+(-4.4)</f>
        <v>25.607964601509998</v>
      </c>
      <c r="G710" s="33">
        <f>(C710*1.06194690265)+(-5.9)</f>
        <v>22.453982300754994</v>
      </c>
      <c r="H710" s="34">
        <f>(C710*1.19469026548)+(0)</f>
        <v>31.898230088315998</v>
      </c>
      <c r="I710" s="34">
        <f>(C710*1.16814159292)+(-2)</f>
        <v>29.189380530964002</v>
      </c>
      <c r="J710" s="34">
        <f>(C710*1.1238938053)+(-3.9)</f>
        <v>26.107964601510002</v>
      </c>
      <c r="K710" s="34">
        <f>(C710*1.07964601769)+(-5.6)</f>
        <v>23.226548672322998</v>
      </c>
    </row>
    <row r="711" spans="1:11" s="21" customFormat="1" ht="19.95" customHeight="1" x14ac:dyDescent="0.25">
      <c r="A711" s="13" t="str">
        <f>"71290"</f>
        <v>71290</v>
      </c>
      <c r="B711" s="14" t="s">
        <v>1058</v>
      </c>
      <c r="C711" s="13" t="str">
        <f>"30.0"</f>
        <v>30.0</v>
      </c>
      <c r="D711" s="32">
        <f>(C711*1.24778761061)+(0.4)</f>
        <v>37.833628318300001</v>
      </c>
      <c r="E711" s="33">
        <f>(C711*1.16814159292)+(-1)</f>
        <v>34.0442477876</v>
      </c>
      <c r="F711" s="33">
        <f>(C711*1.1238938053)+(-4.4)</f>
        <v>29.316814159000003</v>
      </c>
      <c r="G711" s="33">
        <f>(C711*1.06194690265)+(-5.9)</f>
        <v>25.958407079499999</v>
      </c>
      <c r="H711" s="34">
        <f>(C711*1.19469026548)+(0)</f>
        <v>35.840707964400004</v>
      </c>
      <c r="I711" s="34">
        <f>(C711*1.16814159292)+(-2)</f>
        <v>33.0442477876</v>
      </c>
      <c r="J711" s="34">
        <f>(C711*1.1238938053)+(-3.9)</f>
        <v>29.816814159000003</v>
      </c>
      <c r="K711" s="34">
        <f>(C711*1.07964601769)+(-5.6)</f>
        <v>26.789380530700001</v>
      </c>
    </row>
    <row r="712" spans="1:11" s="21" customFormat="1" ht="19.95" customHeight="1" x14ac:dyDescent="0.25">
      <c r="A712" s="13" t="str">
        <f>"71650"</f>
        <v>71650</v>
      </c>
      <c r="B712" s="14" t="s">
        <v>1059</v>
      </c>
      <c r="C712" s="13" t="str">
        <f>"16.2"</f>
        <v>16.2</v>
      </c>
      <c r="D712" s="32">
        <f>(C712*1.24778761061)+(0.4)</f>
        <v>20.614159291882</v>
      </c>
      <c r="E712" s="33">
        <f>(C712*1.16814159292)+(-1)</f>
        <v>17.923893805304001</v>
      </c>
      <c r="F712" s="33">
        <f>(C712*1.1238938053)+(-4.4)</f>
        <v>13.807079645859998</v>
      </c>
      <c r="G712" s="33">
        <f>(C712*1.06194690265)+(-5.9)</f>
        <v>11.303539822929997</v>
      </c>
      <c r="H712" s="34">
        <f>(C712*1.19469026548)+(0)</f>
        <v>19.353982300776</v>
      </c>
      <c r="I712" s="34">
        <f>(C712*1.16814159292)+(-2)</f>
        <v>16.923893805304001</v>
      </c>
      <c r="J712" s="34">
        <f>(C712*1.1238938053)+(-3.9)</f>
        <v>14.307079645859998</v>
      </c>
      <c r="K712" s="34">
        <f>(C712*1.07964601769)+(-5.6)</f>
        <v>11.890265486578</v>
      </c>
    </row>
    <row r="713" spans="1:11" s="21" customFormat="1" ht="19.95" customHeight="1" x14ac:dyDescent="0.25">
      <c r="A713" s="13" t="str">
        <f>"35123"</f>
        <v>35123</v>
      </c>
      <c r="B713" s="14" t="s">
        <v>1060</v>
      </c>
      <c r="C713" s="13" t="str">
        <f>"14.1"</f>
        <v>14.1</v>
      </c>
      <c r="D713" s="32">
        <f>(C713*1.24778761061)+(0.4)</f>
        <v>17.993805309601001</v>
      </c>
      <c r="E713" s="33">
        <f>(C713*1.16814159292)+(-1)</f>
        <v>15.470796460172</v>
      </c>
      <c r="F713" s="33">
        <f>(C713*1.1238938053)+(-4.4)</f>
        <v>11.44690265473</v>
      </c>
      <c r="G713" s="33">
        <f>(C713*1.06194690265)+(-5.9)</f>
        <v>9.0734513273649977</v>
      </c>
      <c r="H713" s="34">
        <f>(C713*1.19469026548)+(0)</f>
        <v>16.845132743268</v>
      </c>
      <c r="I713" s="34">
        <f>(C713*1.16814159292)+(-2)</f>
        <v>14.470796460172</v>
      </c>
      <c r="J713" s="34">
        <f>(C713*1.1238938053)+(-3.9)</f>
        <v>11.94690265473</v>
      </c>
      <c r="K713" s="34">
        <f>(C713*1.07964601769)+(-5.6)</f>
        <v>9.6230088494290005</v>
      </c>
    </row>
    <row r="714" spans="1:11" s="21" customFormat="1" ht="19.95" customHeight="1" x14ac:dyDescent="0.25">
      <c r="A714" s="13" t="str">
        <f>"50824"</f>
        <v>50824</v>
      </c>
      <c r="B714" s="14" t="s">
        <v>1061</v>
      </c>
      <c r="C714" s="13" t="str">
        <f>"16.7"</f>
        <v>16.7</v>
      </c>
      <c r="D714" s="32">
        <f>(C714*1.24778761061)+(0.4)</f>
        <v>21.238053097186999</v>
      </c>
      <c r="E714" s="33">
        <f>(C714*1.16814159292)+(-1)</f>
        <v>18.507964601764002</v>
      </c>
      <c r="F714" s="33">
        <f>(C714*1.1238938053)+(-4.4)</f>
        <v>14.369026548509998</v>
      </c>
      <c r="G714" s="33">
        <f>(C714*1.06194690265)+(-5.9)</f>
        <v>11.834513274254997</v>
      </c>
      <c r="H714" s="34">
        <f>(C714*1.19469026548)+(0)</f>
        <v>19.951327433515999</v>
      </c>
      <c r="I714" s="34">
        <f>(C714*1.16814159292)+(-2)</f>
        <v>17.507964601764002</v>
      </c>
      <c r="J714" s="34">
        <f>(C714*1.1238938053)+(-3.9)</f>
        <v>14.869026548509998</v>
      </c>
      <c r="K714" s="34">
        <f>(C714*1.07964601769)+(-5.6)</f>
        <v>12.430088495422998</v>
      </c>
    </row>
    <row r="715" spans="1:11" s="21" customFormat="1" ht="19.95" customHeight="1" x14ac:dyDescent="0.25">
      <c r="A715" s="13" t="str">
        <f>"16263"</f>
        <v>16263</v>
      </c>
      <c r="B715" s="14" t="s">
        <v>1062</v>
      </c>
      <c r="C715" s="13" t="str">
        <f>"22.8"</f>
        <v>22.8</v>
      </c>
      <c r="D715" s="32">
        <f>(C715*1.24778761061)+(0.4)</f>
        <v>28.849557521908</v>
      </c>
      <c r="E715" s="33">
        <f>(C715*1.16814159292)+(-1)</f>
        <v>25.633628318576001</v>
      </c>
      <c r="F715" s="33">
        <f>(C715*1.1238938053)+(-4.4)</f>
        <v>21.224778760840003</v>
      </c>
      <c r="G715" s="33">
        <f>(C715*1.06194690265)+(-5.9)</f>
        <v>18.312389380420001</v>
      </c>
      <c r="H715" s="34">
        <f>(C715*1.19469026548)+(0)</f>
        <v>27.238938052944</v>
      </c>
      <c r="I715" s="34">
        <f>(C715*1.16814159292)+(-2)</f>
        <v>24.633628318576001</v>
      </c>
      <c r="J715" s="34">
        <f>(C715*1.1238938053)+(-3.9)</f>
        <v>21.724778760840003</v>
      </c>
      <c r="K715" s="34">
        <f>(C715*1.07964601769)+(-5.6)</f>
        <v>19.015929203332</v>
      </c>
    </row>
    <row r="716" spans="1:11" s="21" customFormat="1" ht="19.95" customHeight="1" x14ac:dyDescent="0.25">
      <c r="A716" s="13" t="str">
        <f>"16264"</f>
        <v>16264</v>
      </c>
      <c r="B716" s="14" t="s">
        <v>1063</v>
      </c>
      <c r="C716" s="13" t="str">
        <f>"12.5"</f>
        <v>12.5</v>
      </c>
      <c r="D716" s="32">
        <f>(C716*1.24778761061)+(0.4)</f>
        <v>15.997345132625002</v>
      </c>
      <c r="E716" s="33">
        <f>(C716*1.16814159292)+(-1)</f>
        <v>13.601769911500002</v>
      </c>
      <c r="F716" s="33">
        <f>(C716*1.1238938053)+(-4.4)</f>
        <v>9.648672566250001</v>
      </c>
      <c r="G716" s="33">
        <f>(C716*1.06194690265)+(-5.9)</f>
        <v>7.3743362831249986</v>
      </c>
      <c r="H716" s="34">
        <f>(C716*1.19469026548)+(0)</f>
        <v>14.9336283185</v>
      </c>
      <c r="I716" s="34">
        <f>(C716*1.16814159292)+(-2)</f>
        <v>12.601769911500002</v>
      </c>
      <c r="J716" s="34">
        <f>(C716*1.1238938053)+(-3.9)</f>
        <v>10.148672566250001</v>
      </c>
      <c r="K716" s="34">
        <f>(C716*1.07964601769)+(-5.6)</f>
        <v>7.8955752211250001</v>
      </c>
    </row>
    <row r="717" spans="1:11" s="21" customFormat="1" ht="19.95" customHeight="1" x14ac:dyDescent="0.25">
      <c r="A717" s="13" t="str">
        <f>"55542"</f>
        <v>55542</v>
      </c>
      <c r="B717" s="14" t="s">
        <v>1064</v>
      </c>
      <c r="C717" s="13" t="str">
        <f>"21.0"</f>
        <v>21.0</v>
      </c>
      <c r="D717" s="32">
        <f>(C717*1.24778761061)+(0.4)</f>
        <v>26.603539822809999</v>
      </c>
      <c r="E717" s="33">
        <f>(C717*1.16814159292)+(-1)</f>
        <v>23.530973451320001</v>
      </c>
      <c r="F717" s="33">
        <f>(C717*1.1238938053)+(-4.4)</f>
        <v>19.201769911299998</v>
      </c>
      <c r="G717" s="33">
        <f>(C717*1.06194690265)+(-5.9)</f>
        <v>16.40088495565</v>
      </c>
      <c r="H717" s="34">
        <f>(C717*1.19469026548)+(0)</f>
        <v>25.08849557508</v>
      </c>
      <c r="I717" s="34">
        <f>(C717*1.16814159292)+(-2)</f>
        <v>22.530973451320001</v>
      </c>
      <c r="J717" s="34">
        <f>(C717*1.1238938053)+(-3.9)</f>
        <v>19.701769911300001</v>
      </c>
      <c r="K717" s="34">
        <f>(C717*1.07964601769)+(-5.6)</f>
        <v>17.072566371489998</v>
      </c>
    </row>
    <row r="718" spans="1:11" s="21" customFormat="1" ht="19.95" customHeight="1" x14ac:dyDescent="0.25">
      <c r="A718" s="13" t="str">
        <f>"16268"</f>
        <v>16268</v>
      </c>
      <c r="B718" s="14" t="s">
        <v>1065</v>
      </c>
      <c r="C718" s="13" t="str">
        <f>"24.8"</f>
        <v>24.8</v>
      </c>
      <c r="D718" s="32">
        <f>(C718*1.24778761061)+(0.4)</f>
        <v>31.345132743128001</v>
      </c>
      <c r="E718" s="33">
        <f>(C718*1.16814159292)+(-1)</f>
        <v>27.969911504416004</v>
      </c>
      <c r="F718" s="33">
        <f>(C718*1.1238938053)+(-4.4)</f>
        <v>23.472566371440003</v>
      </c>
      <c r="G718" s="33">
        <f>(C718*1.06194690265)+(-5.9)</f>
        <v>20.436283185720001</v>
      </c>
      <c r="H718" s="34">
        <f>(C718*1.19469026548)+(0)</f>
        <v>29.628318583904001</v>
      </c>
      <c r="I718" s="34">
        <f>(C718*1.16814159292)+(-2)</f>
        <v>26.969911504416004</v>
      </c>
      <c r="J718" s="34">
        <f>(C718*1.1238938053)+(-3.9)</f>
        <v>23.972566371440003</v>
      </c>
      <c r="K718" s="34">
        <f>(C718*1.07964601769)+(-5.6)</f>
        <v>21.175221238711998</v>
      </c>
    </row>
    <row r="719" spans="1:11" s="21" customFormat="1" ht="19.95" customHeight="1" x14ac:dyDescent="0.25">
      <c r="A719" s="13" t="str">
        <f>"78016"</f>
        <v>78016</v>
      </c>
      <c r="B719" s="14" t="s">
        <v>1066</v>
      </c>
      <c r="C719" s="13" t="str">
        <f>"18.6"</f>
        <v>18.6</v>
      </c>
      <c r="D719" s="32">
        <f>(C719*1.24778761061)+(0.4)</f>
        <v>23.608849557346002</v>
      </c>
      <c r="E719" s="33">
        <f>(C719*1.16814159292)+(-1)</f>
        <v>20.727433628312003</v>
      </c>
      <c r="F719" s="33">
        <f>(C719*1.1238938053)+(-4.4)</f>
        <v>16.504424778580002</v>
      </c>
      <c r="G719" s="33">
        <f>(C719*1.06194690265)+(-5.9)</f>
        <v>13.852212389290001</v>
      </c>
      <c r="H719" s="34">
        <f>(C719*1.19469026548)+(0)</f>
        <v>22.221238937928003</v>
      </c>
      <c r="I719" s="34">
        <f>(C719*1.16814159292)+(-2)</f>
        <v>19.727433628312003</v>
      </c>
      <c r="J719" s="34">
        <f>(C719*1.1238938053)+(-3.9)</f>
        <v>17.004424778580002</v>
      </c>
      <c r="K719" s="34">
        <f>(C719*1.07964601769)+(-5.6)</f>
        <v>14.481415929034002</v>
      </c>
    </row>
    <row r="720" spans="1:11" s="21" customFormat="1" ht="19.95" customHeight="1" x14ac:dyDescent="0.25">
      <c r="A720" s="13" t="str">
        <f>"71792"</f>
        <v>71792</v>
      </c>
      <c r="B720" s="14" t="s">
        <v>1067</v>
      </c>
      <c r="C720" s="13" t="str">
        <f>"9.9"</f>
        <v>9.9</v>
      </c>
      <c r="D720" s="32">
        <f>(C720*1.24778761061)+(0.4)</f>
        <v>12.753097345039002</v>
      </c>
      <c r="E720" s="33">
        <f>(C720*1.16814159292)+(-1)</f>
        <v>10.564601769908002</v>
      </c>
      <c r="F720" s="33">
        <f>(C720*1.1238938053)+(-4.4)</f>
        <v>6.7265486724700008</v>
      </c>
      <c r="G720" s="33">
        <f>(C720*1.06194690265)+(-5.9)</f>
        <v>4.6132743362349995</v>
      </c>
      <c r="H720" s="34">
        <f>(C720*1.19469026548)+(0)</f>
        <v>11.827433628252001</v>
      </c>
      <c r="I720" s="34">
        <f>(C720*1.16814159292)+(-2)</f>
        <v>9.5646017699080019</v>
      </c>
      <c r="J720" s="34">
        <f>(C720*1.1238938053)+(-3.9)</f>
        <v>7.2265486724700008</v>
      </c>
      <c r="K720" s="34">
        <f>(C720*1.07964601769)+(-5.6)</f>
        <v>5.0884955751310006</v>
      </c>
    </row>
    <row r="721" spans="1:11" s="21" customFormat="1" ht="19.95" customHeight="1" x14ac:dyDescent="0.25">
      <c r="A721" s="13" t="str">
        <f>"1009689"</f>
        <v>1009689</v>
      </c>
      <c r="B721" s="14" t="s">
        <v>1068</v>
      </c>
      <c r="C721" s="13" t="str">
        <f>"19.9"</f>
        <v>19.9</v>
      </c>
      <c r="D721" s="32">
        <f>(C721*1.24778761061)+(0.4)</f>
        <v>25.230973451139</v>
      </c>
      <c r="E721" s="33">
        <f>(C721*1.16814159292)+(-1)</f>
        <v>22.246017699107998</v>
      </c>
      <c r="F721" s="33">
        <f>(C721*1.1238938053)+(-4.4)</f>
        <v>17.965486725470001</v>
      </c>
      <c r="G721" s="33">
        <f>(C721*1.06194690265)+(-5.9)</f>
        <v>15.232743362734995</v>
      </c>
      <c r="H721" s="34">
        <f>(C721*1.19469026548)+(0)</f>
        <v>23.774336283051998</v>
      </c>
      <c r="I721" s="34">
        <f>(C721*1.16814159292)+(-2)</f>
        <v>21.246017699107998</v>
      </c>
      <c r="J721" s="34">
        <f>(C721*1.1238938053)+(-3.9)</f>
        <v>18.465486725470001</v>
      </c>
      <c r="K721" s="34">
        <f>(C721*1.07964601769)+(-5.6)</f>
        <v>15.884955752030999</v>
      </c>
    </row>
    <row r="722" spans="1:11" s="21" customFormat="1" ht="19.95" customHeight="1" x14ac:dyDescent="0.25">
      <c r="A722" s="13" t="str">
        <f>"3219"</f>
        <v>3219</v>
      </c>
      <c r="B722" s="14" t="s">
        <v>1069</v>
      </c>
      <c r="C722" s="13" t="str">
        <f>"21.6"</f>
        <v>21.6</v>
      </c>
      <c r="D722" s="32">
        <f>(C722*1.24778761061)+(0.4)</f>
        <v>27.352212389176003</v>
      </c>
      <c r="E722" s="33">
        <f>(C722*1.16814159292)+(-1)</f>
        <v>24.231858407072004</v>
      </c>
      <c r="F722" s="33">
        <f>(C722*1.1238938053)+(-4.4)</f>
        <v>19.876106194480002</v>
      </c>
      <c r="G722" s="33">
        <f>(C722*1.06194690265)+(-5.9)</f>
        <v>17.038053097240002</v>
      </c>
      <c r="H722" s="34">
        <f>(C722*1.19469026548)+(0)</f>
        <v>25.805309734368002</v>
      </c>
      <c r="I722" s="34">
        <f>(C722*1.16814159292)+(-2)</f>
        <v>23.231858407072004</v>
      </c>
      <c r="J722" s="34">
        <f>(C722*1.1238938053)+(-3.9)</f>
        <v>20.376106194480005</v>
      </c>
      <c r="K722" s="34">
        <f>(C722*1.07964601769)+(-5.6)</f>
        <v>17.720353982104001</v>
      </c>
    </row>
    <row r="723" spans="1:11" s="21" customFormat="1" ht="19.95" customHeight="1" x14ac:dyDescent="0.25">
      <c r="A723" s="13" t="str">
        <f>"16270"</f>
        <v>16270</v>
      </c>
      <c r="B723" s="14" t="s">
        <v>1070</v>
      </c>
      <c r="C723" s="13" t="str">
        <f>"33.0000"</f>
        <v>33.0000</v>
      </c>
      <c r="D723" s="32">
        <f>(C723*1.24778761061)+(0.4)</f>
        <v>41.576991150129999</v>
      </c>
      <c r="E723" s="33">
        <f>(C723*1.16814159292)+(-1)</f>
        <v>37.548672566360004</v>
      </c>
      <c r="F723" s="33">
        <f>(C723*1.1238938053)+(-4.4)</f>
        <v>32.688495574900003</v>
      </c>
      <c r="G723" s="33">
        <f>(C723*1.06194690265)+(-5.9)</f>
        <v>29.144247787449999</v>
      </c>
      <c r="H723" s="34">
        <f>(C723*1.19469026548)+(0)</f>
        <v>39.424778760839999</v>
      </c>
      <c r="I723" s="34">
        <f>(C723*1.16814159292)+(-2)</f>
        <v>36.548672566360004</v>
      </c>
      <c r="J723" s="34">
        <f>(C723*1.1238938053)+(-3.9)</f>
        <v>33.188495574900003</v>
      </c>
      <c r="K723" s="34">
        <f>(C723*1.07964601769)+(-5.6)</f>
        <v>30.028318583770002</v>
      </c>
    </row>
    <row r="724" spans="1:11" s="21" customFormat="1" ht="19.95" customHeight="1" x14ac:dyDescent="0.25">
      <c r="A724" s="13" t="str">
        <f>"16272"</f>
        <v>16272</v>
      </c>
      <c r="B724" s="14" t="s">
        <v>1071</v>
      </c>
      <c r="C724" s="13" t="str">
        <f>"20.8"</f>
        <v>20.8</v>
      </c>
      <c r="D724" s="32">
        <f>(C724*1.24778761061)+(0.4)</f>
        <v>26.353982300688003</v>
      </c>
      <c r="E724" s="33">
        <f>(C724*1.16814159292)+(-1)</f>
        <v>23.297345132736002</v>
      </c>
      <c r="F724" s="33">
        <f>(C724*1.1238938053)+(-4.4)</f>
        <v>18.976991150240003</v>
      </c>
      <c r="G724" s="33">
        <f>(C724*1.06194690265)+(-5.9)</f>
        <v>16.188495575120001</v>
      </c>
      <c r="H724" s="34">
        <f>(C724*1.19469026548)+(0)</f>
        <v>24.849557521984</v>
      </c>
      <c r="I724" s="34">
        <f>(C724*1.16814159292)+(-2)</f>
        <v>22.297345132736002</v>
      </c>
      <c r="J724" s="34">
        <f>(C724*1.1238938053)+(-3.9)</f>
        <v>19.476991150240003</v>
      </c>
      <c r="K724" s="34">
        <f>(C724*1.07964601769)+(-5.6)</f>
        <v>16.856637167952002</v>
      </c>
    </row>
    <row r="725" spans="1:11" s="21" customFormat="1" ht="19.95" customHeight="1" x14ac:dyDescent="0.25">
      <c r="A725" s="13" t="str">
        <f>"50414"</f>
        <v>50414</v>
      </c>
      <c r="B725" s="14" t="s">
        <v>1072</v>
      </c>
      <c r="C725" s="13" t="str">
        <f>"+1.1"</f>
        <v>+1.1</v>
      </c>
      <c r="D725" s="32">
        <f>(C725*1.24778761061)+(0.4)</f>
        <v>1.7725663716710001</v>
      </c>
      <c r="E725" s="33">
        <f>(C725*1.16814159292)+(-1)</f>
        <v>0.28495575221200009</v>
      </c>
      <c r="F725" s="33">
        <f>(C725*1.1238938053)+(-4.4)</f>
        <v>-3.1637168141700003</v>
      </c>
      <c r="G725" s="33">
        <f>(C725*1.06194690265)+(-5.9)</f>
        <v>-4.7318584070850003</v>
      </c>
      <c r="H725" s="34">
        <f>(C725*1.19469026548)+(0)</f>
        <v>1.3141592920280001</v>
      </c>
      <c r="I725" s="34">
        <f>(C725*1.16814159292)+(-2)</f>
        <v>-0.71504424778799991</v>
      </c>
      <c r="J725" s="34">
        <f>(C725*1.1238938053)+(-3.9)</f>
        <v>-2.6637168141699998</v>
      </c>
      <c r="K725" s="34">
        <f>(C725*1.07964601769)+(-5.6)</f>
        <v>-4.4123893805409997</v>
      </c>
    </row>
    <row r="726" spans="1:11" s="21" customFormat="1" ht="19.95" customHeight="1" x14ac:dyDescent="0.25">
      <c r="A726" s="13" t="str">
        <f>"50413"</f>
        <v>50413</v>
      </c>
      <c r="B726" s="14" t="s">
        <v>1073</v>
      </c>
      <c r="C726" s="13" t="str">
        <f>"14.7"</f>
        <v>14.7</v>
      </c>
      <c r="D726" s="32">
        <f>(C726*1.24778761061)+(0.4)</f>
        <v>18.742477875966998</v>
      </c>
      <c r="E726" s="33">
        <f>(C726*1.16814159292)+(-1)</f>
        <v>16.171681415923999</v>
      </c>
      <c r="F726" s="33">
        <f>(C726*1.1238938053)+(-4.4)</f>
        <v>12.121238937909999</v>
      </c>
      <c r="G726" s="33">
        <f>(C726*1.06194690265)+(-5.9)</f>
        <v>9.7106194689549969</v>
      </c>
      <c r="H726" s="34">
        <f>(C726*1.19469026548)+(0)</f>
        <v>17.561946902555999</v>
      </c>
      <c r="I726" s="34">
        <f>(C726*1.16814159292)+(-2)</f>
        <v>15.171681415923999</v>
      </c>
      <c r="J726" s="34">
        <f>(C726*1.1238938053)+(-3.9)</f>
        <v>12.621238937909999</v>
      </c>
      <c r="K726" s="34">
        <f>(C726*1.07964601769)+(-5.6)</f>
        <v>10.270796460043</v>
      </c>
    </row>
    <row r="727" spans="1:11" s="21" customFormat="1" ht="19.95" customHeight="1" x14ac:dyDescent="0.25">
      <c r="A727" s="13" t="str">
        <f>"16274"</f>
        <v>16274</v>
      </c>
      <c r="B727" s="14" t="s">
        <v>1074</v>
      </c>
      <c r="C727" s="13" t="str">
        <f>"26.7"</f>
        <v>26.7</v>
      </c>
      <c r="D727" s="32">
        <f>(C727*1.24778761061)+(0.4)</f>
        <v>33.715929203286997</v>
      </c>
      <c r="E727" s="33">
        <f>(C727*1.16814159292)+(-1)</f>
        <v>30.189380530964002</v>
      </c>
      <c r="F727" s="33">
        <f>(C727*1.1238938053)+(-4.4)</f>
        <v>25.607964601509998</v>
      </c>
      <c r="G727" s="33">
        <f>(C727*1.06194690265)+(-5.9)</f>
        <v>22.453982300754994</v>
      </c>
      <c r="H727" s="34">
        <f>(C727*1.19469026548)+(0)</f>
        <v>31.898230088315998</v>
      </c>
      <c r="I727" s="34">
        <f>(C727*1.16814159292)+(-2)</f>
        <v>29.189380530964002</v>
      </c>
      <c r="J727" s="34">
        <f>(C727*1.1238938053)+(-3.9)</f>
        <v>26.107964601510002</v>
      </c>
      <c r="K727" s="34">
        <f>(C727*1.07964601769)+(-5.6)</f>
        <v>23.226548672322998</v>
      </c>
    </row>
    <row r="728" spans="1:11" s="21" customFormat="1" ht="19.95" customHeight="1" x14ac:dyDescent="0.25">
      <c r="A728" s="13" t="str">
        <f>"17561"</f>
        <v>17561</v>
      </c>
      <c r="B728" s="14" t="s">
        <v>1075</v>
      </c>
      <c r="C728" s="13" t="str">
        <f>"17.1"</f>
        <v>17.1</v>
      </c>
      <c r="D728" s="32">
        <f>(C728*1.24778761061)+(0.4)</f>
        <v>21.737168141431003</v>
      </c>
      <c r="E728" s="33">
        <f>(C728*1.16814159292)+(-1)</f>
        <v>18.975221238932004</v>
      </c>
      <c r="F728" s="33">
        <f>(C728*1.1238938053)+(-4.4)</f>
        <v>14.818584070630001</v>
      </c>
      <c r="G728" s="33">
        <f>(C728*1.06194690265)+(-5.9)</f>
        <v>12.259292035315001</v>
      </c>
      <c r="H728" s="34">
        <f>(C728*1.19469026548)+(0)</f>
        <v>20.429203539708002</v>
      </c>
      <c r="I728" s="34">
        <f>(C728*1.16814159292)+(-2)</f>
        <v>17.975221238932004</v>
      </c>
      <c r="J728" s="34">
        <f>(C728*1.1238938053)+(-3.9)</f>
        <v>15.318584070630001</v>
      </c>
      <c r="K728" s="34">
        <f>(C728*1.07964601769)+(-5.6)</f>
        <v>12.861946902499001</v>
      </c>
    </row>
    <row r="729" spans="1:11" s="21" customFormat="1" ht="19.95" customHeight="1" x14ac:dyDescent="0.25">
      <c r="A729" s="13" t="str">
        <f>"16276"</f>
        <v>16276</v>
      </c>
      <c r="B729" s="14" t="s">
        <v>1076</v>
      </c>
      <c r="C729" s="13" t="str">
        <f>"15.0"</f>
        <v>15.0</v>
      </c>
      <c r="D729" s="32">
        <f>(C729*1.24778761061)+(0.4)</f>
        <v>19.11681415915</v>
      </c>
      <c r="E729" s="33">
        <f>(C729*1.16814159292)+(-1)</f>
        <v>16.5221238938</v>
      </c>
      <c r="F729" s="33">
        <f>(C729*1.1238938053)+(-4.4)</f>
        <v>12.458407079500001</v>
      </c>
      <c r="G729" s="33">
        <f>(C729*1.06194690265)+(-5.9)</f>
        <v>10.029203539749998</v>
      </c>
      <c r="H729" s="34">
        <f>(C729*1.19469026548)+(0)</f>
        <v>17.920353982200002</v>
      </c>
      <c r="I729" s="34">
        <f>(C729*1.16814159292)+(-2)</f>
        <v>15.5221238938</v>
      </c>
      <c r="J729" s="34">
        <f>(C729*1.1238938053)+(-3.9)</f>
        <v>12.958407079500001</v>
      </c>
      <c r="K729" s="34">
        <f>(C729*1.07964601769)+(-5.6)</f>
        <v>10.594690265350001</v>
      </c>
    </row>
    <row r="730" spans="1:11" s="21" customFormat="1" ht="19.95" customHeight="1" x14ac:dyDescent="0.25">
      <c r="A730" s="13" t="str">
        <f>"16277"</f>
        <v>16277</v>
      </c>
      <c r="B730" s="14" t="s">
        <v>1077</v>
      </c>
      <c r="C730" s="13" t="str">
        <f>"13.2"</f>
        <v>13.2</v>
      </c>
      <c r="D730" s="32">
        <f>(C730*1.24778761061)+(0.4)</f>
        <v>16.870796460051999</v>
      </c>
      <c r="E730" s="33">
        <f>(C730*1.16814159292)+(-1)</f>
        <v>14.419469026544</v>
      </c>
      <c r="F730" s="33">
        <f>(C730*1.1238938053)+(-4.4)</f>
        <v>10.435398229959999</v>
      </c>
      <c r="G730" s="33">
        <f>(C730*1.06194690265)+(-5.9)</f>
        <v>8.1176991149799971</v>
      </c>
      <c r="H730" s="34">
        <f>(C730*1.19469026548)+(0)</f>
        <v>15.769911504335999</v>
      </c>
      <c r="I730" s="34">
        <f>(C730*1.16814159292)+(-2)</f>
        <v>13.419469026544</v>
      </c>
      <c r="J730" s="34">
        <f>(C730*1.1238938053)+(-3.9)</f>
        <v>10.935398229959999</v>
      </c>
      <c r="K730" s="34">
        <f>(C730*1.07964601769)+(-5.6)</f>
        <v>8.6513274335079995</v>
      </c>
    </row>
    <row r="731" spans="1:11" s="21" customFormat="1" ht="19.95" customHeight="1" x14ac:dyDescent="0.25">
      <c r="A731" s="13" t="str">
        <f>"16278"</f>
        <v>16278</v>
      </c>
      <c r="B731" s="14" t="s">
        <v>1078</v>
      </c>
      <c r="C731" s="13" t="str">
        <f>"24.1"</f>
        <v>24.1</v>
      </c>
      <c r="D731" s="32">
        <f>(C731*1.24778761061)+(0.4)</f>
        <v>30.471681415701003</v>
      </c>
      <c r="E731" s="33">
        <f>(C731*1.16814159292)+(-1)</f>
        <v>27.152212389372004</v>
      </c>
      <c r="F731" s="33">
        <f>(C731*1.1238938053)+(-4.4)</f>
        <v>22.685840707730001</v>
      </c>
      <c r="G731" s="33">
        <f>(C731*1.06194690265)+(-5.9)</f>
        <v>19.692920353864999</v>
      </c>
      <c r="H731" s="34">
        <f>(C731*1.19469026548)+(0)</f>
        <v>28.792035398068002</v>
      </c>
      <c r="I731" s="34">
        <f>(C731*1.16814159292)+(-2)</f>
        <v>26.152212389372004</v>
      </c>
      <c r="J731" s="34">
        <f>(C731*1.1238938053)+(-3.9)</f>
        <v>23.185840707730005</v>
      </c>
      <c r="K731" s="34">
        <f>(C731*1.07964601769)+(-5.6)</f>
        <v>20.419469026329004</v>
      </c>
    </row>
    <row r="732" spans="1:11" s="21" customFormat="1" ht="19.95" customHeight="1" x14ac:dyDescent="0.25">
      <c r="A732" s="13" t="str">
        <f>"1006625"</f>
        <v>1006625</v>
      </c>
      <c r="B732" s="14" t="s">
        <v>1079</v>
      </c>
      <c r="C732" s="13" t="str">
        <f>"24.8"</f>
        <v>24.8</v>
      </c>
      <c r="D732" s="32">
        <f>(C732*1.24778761061)+(0.4)</f>
        <v>31.345132743128001</v>
      </c>
      <c r="E732" s="33">
        <f>(C732*1.16814159292)+(-1)</f>
        <v>27.969911504416004</v>
      </c>
      <c r="F732" s="33">
        <f>(C732*1.1238938053)+(-4.4)</f>
        <v>23.472566371440003</v>
      </c>
      <c r="G732" s="33">
        <f>(C732*1.06194690265)+(-5.9)</f>
        <v>20.436283185720001</v>
      </c>
      <c r="H732" s="34">
        <f>(C732*1.19469026548)+(0)</f>
        <v>29.628318583904001</v>
      </c>
      <c r="I732" s="34">
        <f>(C732*1.16814159292)+(-2)</f>
        <v>26.969911504416004</v>
      </c>
      <c r="J732" s="34">
        <f>(C732*1.1238938053)+(-3.9)</f>
        <v>23.972566371440003</v>
      </c>
      <c r="K732" s="34">
        <f>(C732*1.07964601769)+(-5.6)</f>
        <v>21.175221238711998</v>
      </c>
    </row>
    <row r="733" spans="1:11" s="21" customFormat="1" ht="19.95" customHeight="1" x14ac:dyDescent="0.25">
      <c r="A733" s="13" t="str">
        <f>"16279"</f>
        <v>16279</v>
      </c>
      <c r="B733" s="14" t="s">
        <v>1080</v>
      </c>
      <c r="C733" s="13" t="str">
        <f>"6.8"</f>
        <v>6.8</v>
      </c>
      <c r="D733" s="32">
        <f>(C733*1.24778761061)+(0.4)</f>
        <v>8.8849557521480005</v>
      </c>
      <c r="E733" s="33">
        <f>(C733*1.16814159292)+(-1)</f>
        <v>6.9433628318560006</v>
      </c>
      <c r="F733" s="33">
        <f>(C733*1.1238938053)+(-4.4)</f>
        <v>3.2424778760399997</v>
      </c>
      <c r="G733" s="33">
        <f>(C733*1.06194690265)+(-5.9)</f>
        <v>1.3212389380199987</v>
      </c>
      <c r="H733" s="34">
        <f>(C733*1.19469026548)+(0)</f>
        <v>8.1238938052640002</v>
      </c>
      <c r="I733" s="34">
        <f>(C733*1.16814159292)+(-2)</f>
        <v>5.9433628318560006</v>
      </c>
      <c r="J733" s="34">
        <f>(C733*1.1238938053)+(-3.9)</f>
        <v>3.7424778760400002</v>
      </c>
      <c r="K733" s="34">
        <f>(C733*1.07964601769)+(-5.6)</f>
        <v>1.7415929202920006</v>
      </c>
    </row>
    <row r="734" spans="1:11" s="21" customFormat="1" ht="19.95" customHeight="1" x14ac:dyDescent="0.25">
      <c r="A734" s="13" t="str">
        <f>"41701"</f>
        <v>41701</v>
      </c>
      <c r="B734" s="14" t="s">
        <v>1081</v>
      </c>
      <c r="C734" s="13" t="str">
        <f>"+0.2"</f>
        <v>+0.2</v>
      </c>
      <c r="D734" s="32">
        <f>(C734*1.24778761061)+(0.4)</f>
        <v>0.64955752212200002</v>
      </c>
      <c r="E734" s="33">
        <f>(C734*1.16814159292)+(-1)</f>
        <v>-0.76637168141599998</v>
      </c>
      <c r="F734" s="33">
        <f>(C734*1.1238938053)+(-4.4)</f>
        <v>-4.1752212389400007</v>
      </c>
      <c r="G734" s="33">
        <f>(C734*1.06194690265)+(-5.9)</f>
        <v>-5.68761061947</v>
      </c>
      <c r="H734" s="34">
        <f>(C734*1.19469026548)+(0)</f>
        <v>0.23893805309600002</v>
      </c>
      <c r="I734" s="34">
        <f>(C734*1.16814159292)+(-2)</f>
        <v>-1.766371681416</v>
      </c>
      <c r="J734" s="34">
        <f>(C734*1.1238938053)+(-3.9)</f>
        <v>-3.6752212389399999</v>
      </c>
      <c r="K734" s="34">
        <f>(C734*1.07964601769)+(-5.6)</f>
        <v>-5.3840707964619998</v>
      </c>
    </row>
    <row r="735" spans="1:11" s="21" customFormat="1" ht="19.95" customHeight="1" x14ac:dyDescent="0.25">
      <c r="A735" s="13" t="str">
        <f>"16283"</f>
        <v>16283</v>
      </c>
      <c r="B735" s="14" t="s">
        <v>1082</v>
      </c>
      <c r="C735" s="13" t="str">
        <f>"17.6"</f>
        <v>17.6</v>
      </c>
      <c r="D735" s="32">
        <f>(C735*1.24778761061)+(0.4)</f>
        <v>22.361061946736001</v>
      </c>
      <c r="E735" s="33">
        <f>(C735*1.16814159292)+(-1)</f>
        <v>19.559292035392001</v>
      </c>
      <c r="F735" s="33">
        <f>(C735*1.1238938053)+(-4.4)</f>
        <v>15.380530973280001</v>
      </c>
      <c r="G735" s="33">
        <f>(C735*1.06194690265)+(-5.9)</f>
        <v>12.790265486640001</v>
      </c>
      <c r="H735" s="34">
        <f>(C735*1.19469026548)+(0)</f>
        <v>21.026548672448001</v>
      </c>
      <c r="I735" s="34">
        <f>(C735*1.16814159292)+(-2)</f>
        <v>18.559292035392001</v>
      </c>
      <c r="J735" s="34">
        <f>(C735*1.1238938053)+(-3.9)</f>
        <v>15.880530973280001</v>
      </c>
      <c r="K735" s="34">
        <f>(C735*1.07964601769)+(-5.6)</f>
        <v>13.401769911344003</v>
      </c>
    </row>
    <row r="736" spans="1:11" s="21" customFormat="1" ht="19.95" customHeight="1" x14ac:dyDescent="0.25">
      <c r="A736" s="13" t="str">
        <f>"16284"</f>
        <v>16284</v>
      </c>
      <c r="B736" s="14" t="s">
        <v>1083</v>
      </c>
      <c r="C736" s="13" t="str">
        <f>"15.3"</f>
        <v>15.3</v>
      </c>
      <c r="D736" s="32">
        <f>(C736*1.24778761061)+(0.4)</f>
        <v>19.491150442333002</v>
      </c>
      <c r="E736" s="33">
        <f>(C736*1.16814159292)+(-1)</f>
        <v>16.872566371676001</v>
      </c>
      <c r="F736" s="33">
        <f>(C736*1.1238938053)+(-4.4)</f>
        <v>12.795575221090003</v>
      </c>
      <c r="G736" s="33">
        <f>(C736*1.06194690265)+(-5.9)</f>
        <v>10.347787610545</v>
      </c>
      <c r="H736" s="34">
        <f>(C736*1.19469026548)+(0)</f>
        <v>18.278761061844001</v>
      </c>
      <c r="I736" s="34">
        <f>(C736*1.16814159292)+(-2)</f>
        <v>15.872566371676001</v>
      </c>
      <c r="J736" s="34">
        <f>(C736*1.1238938053)+(-3.9)</f>
        <v>13.295575221090003</v>
      </c>
      <c r="K736" s="34">
        <f>(C736*1.07964601769)+(-5.6)</f>
        <v>10.918584070657003</v>
      </c>
    </row>
    <row r="737" spans="1:11" s="21" customFormat="1" ht="19.95" customHeight="1" x14ac:dyDescent="0.25">
      <c r="A737" s="13" t="str">
        <f>"16286"</f>
        <v>16286</v>
      </c>
      <c r="B737" s="14" t="s">
        <v>1084</v>
      </c>
      <c r="C737" s="13" t="str">
        <f>"23.8"</f>
        <v>23.8</v>
      </c>
      <c r="D737" s="32">
        <f>(C737*1.24778761061)+(0.4)</f>
        <v>30.097345132518001</v>
      </c>
      <c r="E737" s="33">
        <f>(C737*1.16814159292)+(-1)</f>
        <v>26.801769911496002</v>
      </c>
      <c r="F737" s="33">
        <f>(C737*1.1238938053)+(-4.4)</f>
        <v>22.348672566140003</v>
      </c>
      <c r="G737" s="33">
        <f>(C737*1.06194690265)+(-5.9)</f>
        <v>19.374336283070001</v>
      </c>
      <c r="H737" s="34">
        <f>(C737*1.19469026548)+(0)</f>
        <v>28.433628318424002</v>
      </c>
      <c r="I737" s="34">
        <f>(C737*1.16814159292)+(-2)</f>
        <v>25.801769911496002</v>
      </c>
      <c r="J737" s="34">
        <f>(C737*1.1238938053)+(-3.9)</f>
        <v>22.848672566140003</v>
      </c>
      <c r="K737" s="34">
        <f>(C737*1.07964601769)+(-5.6)</f>
        <v>20.095575221022003</v>
      </c>
    </row>
    <row r="738" spans="1:11" s="21" customFormat="1" ht="19.95" customHeight="1" x14ac:dyDescent="0.25">
      <c r="A738" s="13" t="str">
        <f>"42154"</f>
        <v>42154</v>
      </c>
      <c r="B738" s="14" t="s">
        <v>1085</v>
      </c>
      <c r="C738" s="13" t="str">
        <f>"23.7"</f>
        <v>23.7</v>
      </c>
      <c r="D738" s="32">
        <f>(C738*1.24778761061)+(0.4)</f>
        <v>29.972566371456999</v>
      </c>
      <c r="E738" s="33">
        <f>(C738*1.16814159292)+(-1)</f>
        <v>26.684955752204001</v>
      </c>
      <c r="F738" s="33">
        <f>(C738*1.1238938053)+(-4.4)</f>
        <v>22.236283185609999</v>
      </c>
      <c r="G738" s="33">
        <f>(C738*1.06194690265)+(-5.9)</f>
        <v>19.268141592804994</v>
      </c>
      <c r="H738" s="34">
        <f>(C738*1.19469026548)+(0)</f>
        <v>28.314159291875999</v>
      </c>
      <c r="I738" s="34">
        <f>(C738*1.16814159292)+(-2)</f>
        <v>25.684955752204001</v>
      </c>
      <c r="J738" s="34">
        <f>(C738*1.1238938053)+(-3.9)</f>
        <v>22.736283185610002</v>
      </c>
      <c r="K738" s="34">
        <f>(C738*1.07964601769)+(-5.6)</f>
        <v>19.987610619252997</v>
      </c>
    </row>
    <row r="739" spans="1:11" s="21" customFormat="1" ht="19.95" customHeight="1" x14ac:dyDescent="0.25">
      <c r="A739" s="13" t="str">
        <f>"16291"</f>
        <v>16291</v>
      </c>
      <c r="B739" s="14" t="s">
        <v>1086</v>
      </c>
      <c r="C739" s="13" t="str">
        <f>"29.0"</f>
        <v>29.0</v>
      </c>
      <c r="D739" s="32">
        <f>(C739*1.24778761061)+(0.4)</f>
        <v>36.585840707690004</v>
      </c>
      <c r="E739" s="33">
        <f>(C739*1.16814159292)+(-1)</f>
        <v>32.876106194680006</v>
      </c>
      <c r="F739" s="33">
        <f>(C739*1.1238938053)+(-4.4)</f>
        <v>28.192920353700003</v>
      </c>
      <c r="G739" s="33">
        <f>(C739*1.06194690265)+(-5.9)</f>
        <v>24.896460176849999</v>
      </c>
      <c r="H739" s="34">
        <f>(C739*1.19469026548)+(0)</f>
        <v>34.646017698919998</v>
      </c>
      <c r="I739" s="34">
        <f>(C739*1.16814159292)+(-2)</f>
        <v>31.876106194680006</v>
      </c>
      <c r="J739" s="34">
        <f>(C739*1.1238938053)+(-3.9)</f>
        <v>28.692920353700003</v>
      </c>
      <c r="K739" s="34">
        <f>(C739*1.07964601769)+(-5.6)</f>
        <v>25.709734513009998</v>
      </c>
    </row>
    <row r="740" spans="1:11" s="21" customFormat="1" ht="19.95" customHeight="1" x14ac:dyDescent="0.25">
      <c r="A740" s="13" t="str">
        <f>"13097"</f>
        <v>13097</v>
      </c>
      <c r="B740" s="14" t="s">
        <v>1087</v>
      </c>
      <c r="C740" s="13" t="str">
        <f>"17.7"</f>
        <v>17.7</v>
      </c>
      <c r="D740" s="32">
        <f>(C740*1.24778761061)+(0.4)</f>
        <v>22.485840707796999</v>
      </c>
      <c r="E740" s="33">
        <f>(C740*1.16814159292)+(-1)</f>
        <v>19.676106194683999</v>
      </c>
      <c r="F740" s="33">
        <f>(C740*1.1238938053)+(-4.4)</f>
        <v>15.492920353809998</v>
      </c>
      <c r="G740" s="33">
        <f>(C740*1.06194690265)+(-5.9)</f>
        <v>12.896460176904997</v>
      </c>
      <c r="H740" s="34">
        <f>(C740*1.19469026548)+(0)</f>
        <v>21.146017698996001</v>
      </c>
      <c r="I740" s="34">
        <f>(C740*1.16814159292)+(-2)</f>
        <v>18.676106194683999</v>
      </c>
      <c r="J740" s="34">
        <f>(C740*1.1238938053)+(-3.9)</f>
        <v>15.992920353809998</v>
      </c>
      <c r="K740" s="34">
        <f>(C740*1.07964601769)+(-5.6)</f>
        <v>13.509734513113001</v>
      </c>
    </row>
    <row r="741" spans="1:11" s="21" customFormat="1" ht="19.95" customHeight="1" x14ac:dyDescent="0.25">
      <c r="A741" s="13" t="str">
        <f>"16292"</f>
        <v>16292</v>
      </c>
      <c r="B741" s="14" t="s">
        <v>1088</v>
      </c>
      <c r="C741" s="13" t="str">
        <f>"19.7"</f>
        <v>19.7</v>
      </c>
      <c r="D741" s="32">
        <f>(C741*1.24778761061)+(0.4)</f>
        <v>24.981415929017</v>
      </c>
      <c r="E741" s="33">
        <f>(C741*1.16814159292)+(-1)</f>
        <v>22.012389380524002</v>
      </c>
      <c r="F741" s="33">
        <f>(C741*1.1238938053)+(-4.4)</f>
        <v>17.740707964409999</v>
      </c>
      <c r="G741" s="33">
        <f>(C741*1.06194690265)+(-5.9)</f>
        <v>15.020353982204997</v>
      </c>
      <c r="H741" s="34">
        <f>(C741*1.19469026548)+(0)</f>
        <v>23.535398229955998</v>
      </c>
      <c r="I741" s="34">
        <f>(C741*1.16814159292)+(-2)</f>
        <v>21.012389380524002</v>
      </c>
      <c r="J741" s="34">
        <f>(C741*1.1238938053)+(-3.9)</f>
        <v>18.240707964410003</v>
      </c>
      <c r="K741" s="34">
        <f>(C741*1.07964601769)+(-5.6)</f>
        <v>15.669026548492999</v>
      </c>
    </row>
    <row r="742" spans="1:11" s="21" customFormat="1" ht="19.95" customHeight="1" x14ac:dyDescent="0.25">
      <c r="A742" s="13" t="str">
        <f>"50600"</f>
        <v>50600</v>
      </c>
      <c r="B742" s="14" t="s">
        <v>1089</v>
      </c>
      <c r="C742" s="13" t="str">
        <f>"45.4"</f>
        <v>45.4</v>
      </c>
      <c r="D742" s="32">
        <f>(C742*1.24778761061)+(0.4)</f>
        <v>57.049557521693998</v>
      </c>
      <c r="E742" s="33">
        <f>(C742*1.16814159292)+(-1)</f>
        <v>52.033628318567999</v>
      </c>
      <c r="F742" s="33">
        <f>(C742*1.1238938053)+(-4.4)</f>
        <v>46.624778760620003</v>
      </c>
      <c r="G742" s="33">
        <f>(C742*1.06194690265)+(-5.9)</f>
        <v>42.312389380309995</v>
      </c>
      <c r="H742" s="34">
        <f>(C742*1.19469026548)+(0)</f>
        <v>54.238938052792001</v>
      </c>
      <c r="I742" s="34">
        <f>(C742*1.16814159292)+(-2)</f>
        <v>51.033628318567999</v>
      </c>
      <c r="J742" s="34">
        <f>(C742*1.1238938053)+(-3.9)</f>
        <v>47.124778760620003</v>
      </c>
      <c r="K742" s="34">
        <f>(C742*1.07964601769)+(-5.6)</f>
        <v>43.415929203125998</v>
      </c>
    </row>
    <row r="743" spans="1:11" s="21" customFormat="1" ht="19.95" customHeight="1" x14ac:dyDescent="0.25">
      <c r="A743" s="13" t="str">
        <f>"68924"</f>
        <v>68924</v>
      </c>
      <c r="B743" s="14" t="s">
        <v>1090</v>
      </c>
      <c r="C743" s="13" t="str">
        <f>"7.5"</f>
        <v>7.5</v>
      </c>
      <c r="D743" s="32">
        <f>(C743*1.24778761061)+(0.4)</f>
        <v>9.7584070795750009</v>
      </c>
      <c r="E743" s="33">
        <f>(C743*1.16814159292)+(-1)</f>
        <v>7.7610619469</v>
      </c>
      <c r="F743" s="33">
        <f>(C743*1.1238938053)+(-4.4)</f>
        <v>4.0292035397500001</v>
      </c>
      <c r="G743" s="33">
        <f>(C743*1.06194690265)+(-5.9)</f>
        <v>2.064601769874999</v>
      </c>
      <c r="H743" s="34">
        <f>(C743*1.19469026548)+(0)</f>
        <v>8.9601769911000009</v>
      </c>
      <c r="I743" s="34">
        <f>(C743*1.16814159292)+(-2)</f>
        <v>6.7610619469</v>
      </c>
      <c r="J743" s="34">
        <f>(C743*1.1238938053)+(-3.9)</f>
        <v>4.5292035397500001</v>
      </c>
      <c r="K743" s="34">
        <f>(C743*1.07964601769)+(-5.6)</f>
        <v>2.4973451326750009</v>
      </c>
    </row>
    <row r="744" spans="1:11" s="21" customFormat="1" ht="19.95" customHeight="1" x14ac:dyDescent="0.25">
      <c r="A744" s="13" t="str">
        <f>"16298"</f>
        <v>16298</v>
      </c>
      <c r="B744" s="14" t="s">
        <v>1091</v>
      </c>
      <c r="C744" s="13" t="str">
        <f>"12.4"</f>
        <v>12.4</v>
      </c>
      <c r="D744" s="32">
        <f>(C744*1.24778761061)+(0.4)</f>
        <v>15.872566371564002</v>
      </c>
      <c r="E744" s="33">
        <f>(C744*1.16814159292)+(-1)</f>
        <v>13.484955752208002</v>
      </c>
      <c r="F744" s="33">
        <f>(C744*1.1238938053)+(-4.4)</f>
        <v>9.5362831857200003</v>
      </c>
      <c r="G744" s="33">
        <f>(C744*1.06194690265)+(-5.9)</f>
        <v>7.2681415928599993</v>
      </c>
      <c r="H744" s="34">
        <f>(C744*1.19469026548)+(0)</f>
        <v>14.814159291952</v>
      </c>
      <c r="I744" s="34">
        <f>(C744*1.16814159292)+(-2)</f>
        <v>12.484955752208002</v>
      </c>
      <c r="J744" s="34">
        <f>(C744*1.1238938053)+(-3.9)</f>
        <v>10.03628318572</v>
      </c>
      <c r="K744" s="34">
        <f>(C744*1.07964601769)+(-5.6)</f>
        <v>7.7876106193560002</v>
      </c>
    </row>
    <row r="745" spans="1:11" s="21" customFormat="1" ht="19.95" customHeight="1" x14ac:dyDescent="0.25">
      <c r="A745" s="13" t="str">
        <f>"1008280"</f>
        <v>1008280</v>
      </c>
      <c r="B745" s="14" t="s">
        <v>1092</v>
      </c>
      <c r="C745" s="13" t="str">
        <f>"20.6"</f>
        <v>20.6</v>
      </c>
      <c r="D745" s="32">
        <f>(C745*1.24778761061)+(0.4)</f>
        <v>26.104424778566003</v>
      </c>
      <c r="E745" s="33">
        <f>(C745*1.16814159292)+(-1)</f>
        <v>23.063716814152002</v>
      </c>
      <c r="F745" s="33">
        <f>(C745*1.1238938053)+(-4.4)</f>
        <v>18.752212389180002</v>
      </c>
      <c r="G745" s="33">
        <f>(C745*1.06194690265)+(-5.9)</f>
        <v>15.976106194590001</v>
      </c>
      <c r="H745" s="34">
        <f>(C745*1.19469026548)+(0)</f>
        <v>24.610619468888</v>
      </c>
      <c r="I745" s="34">
        <f>(C745*1.16814159292)+(-2)</f>
        <v>22.063716814152002</v>
      </c>
      <c r="J745" s="34">
        <f>(C745*1.1238938053)+(-3.9)</f>
        <v>19.252212389180006</v>
      </c>
      <c r="K745" s="34">
        <f>(C745*1.07964601769)+(-5.6)</f>
        <v>16.640707964414005</v>
      </c>
    </row>
    <row r="746" spans="1:11" s="21" customFormat="1" ht="19.95" customHeight="1" x14ac:dyDescent="0.25">
      <c r="A746" s="13" t="str">
        <f>"1011288"</f>
        <v>1011288</v>
      </c>
      <c r="B746" s="14" t="s">
        <v>1093</v>
      </c>
      <c r="C746" s="13" t="str">
        <f>"4.7000"</f>
        <v>4.7000</v>
      </c>
      <c r="D746" s="32">
        <f>(C746*1.24778761061)+(0.4)</f>
        <v>6.2646017698670011</v>
      </c>
      <c r="E746" s="33">
        <f>(C746*1.16814159292)+(-1)</f>
        <v>4.4902654867240006</v>
      </c>
      <c r="F746" s="33">
        <f>(C746*1.1238938053)+(-4.4)</f>
        <v>0.88230088491000025</v>
      </c>
      <c r="G746" s="33">
        <f>(C746*1.06194690265)+(-5.9)</f>
        <v>-0.90884955754500041</v>
      </c>
      <c r="H746" s="34">
        <f>(C746*1.19469026548)+(0)</f>
        <v>5.6150442477559999</v>
      </c>
      <c r="I746" s="34">
        <f>(C746*1.16814159292)+(-2)</f>
        <v>3.4902654867240006</v>
      </c>
      <c r="J746" s="34">
        <f>(C746*1.1238938053)+(-3.9)</f>
        <v>1.3823008849100007</v>
      </c>
      <c r="K746" s="34">
        <f>(C746*1.07964601769)+(-5.6)</f>
        <v>-0.52566371685699931</v>
      </c>
    </row>
    <row r="747" spans="1:11" s="21" customFormat="1" ht="19.95" customHeight="1" x14ac:dyDescent="0.25">
      <c r="A747" s="13" t="str">
        <f>"1000700"</f>
        <v>1000700</v>
      </c>
      <c r="B747" s="14" t="s">
        <v>1094</v>
      </c>
      <c r="C747" s="13" t="str">
        <f>"21.8"</f>
        <v>21.8</v>
      </c>
      <c r="D747" s="32">
        <f>(C747*1.24778761061)+(0.4)</f>
        <v>27.601769911298003</v>
      </c>
      <c r="E747" s="33">
        <f>(C747*1.16814159292)+(-1)</f>
        <v>24.465486725656003</v>
      </c>
      <c r="F747" s="33">
        <f>(C747*1.1238938053)+(-4.4)</f>
        <v>20.100884955540003</v>
      </c>
      <c r="G747" s="33">
        <f>(C747*1.06194690265)+(-5.9)</f>
        <v>17.250442477770001</v>
      </c>
      <c r="H747" s="34">
        <f>(C747*1.19469026548)+(0)</f>
        <v>26.044247787464002</v>
      </c>
      <c r="I747" s="34">
        <f>(C747*1.16814159292)+(-2)</f>
        <v>23.465486725656003</v>
      </c>
      <c r="J747" s="34">
        <f>(C747*1.1238938053)+(-3.9)</f>
        <v>20.600884955540003</v>
      </c>
      <c r="K747" s="34">
        <f>(C747*1.07964601769)+(-5.6)</f>
        <v>17.936283185642004</v>
      </c>
    </row>
    <row r="748" spans="1:11" s="21" customFormat="1" ht="19.95" customHeight="1" x14ac:dyDescent="0.25">
      <c r="A748" s="13" t="str">
        <f>"1001111"</f>
        <v>1001111</v>
      </c>
      <c r="B748" s="14" t="s">
        <v>1095</v>
      </c>
      <c r="C748" s="13" t="str">
        <f>"17.9"</f>
        <v>17.9</v>
      </c>
      <c r="D748" s="32">
        <f>(C748*1.24778761061)+(0.4)</f>
        <v>22.735398229918999</v>
      </c>
      <c r="E748" s="33">
        <f>(C748*1.16814159292)+(-1)</f>
        <v>19.909734513267999</v>
      </c>
      <c r="F748" s="33">
        <f>(C748*1.1238938053)+(-4.4)</f>
        <v>15.717699114869999</v>
      </c>
      <c r="G748" s="33">
        <f>(C748*1.06194690265)+(-5.9)</f>
        <v>13.108849557434995</v>
      </c>
      <c r="H748" s="34">
        <f>(C748*1.19469026548)+(0)</f>
        <v>21.384955752091997</v>
      </c>
      <c r="I748" s="34">
        <f>(C748*1.16814159292)+(-2)</f>
        <v>18.909734513267999</v>
      </c>
      <c r="J748" s="34">
        <f>(C748*1.1238938053)+(-3.9)</f>
        <v>16.217699114870001</v>
      </c>
      <c r="K748" s="34">
        <f>(C748*1.07964601769)+(-5.6)</f>
        <v>13.725663716651001</v>
      </c>
    </row>
    <row r="749" spans="1:11" s="21" customFormat="1" ht="19.95" customHeight="1" x14ac:dyDescent="0.25">
      <c r="A749" s="13" t="str">
        <f>"16305"</f>
        <v>16305</v>
      </c>
      <c r="B749" s="14" t="s">
        <v>1096</v>
      </c>
      <c r="C749" s="13" t="str">
        <f>"18.2"</f>
        <v>18.2</v>
      </c>
      <c r="D749" s="32">
        <f>(C749*1.24778761061)+(0.4)</f>
        <v>23.109734513101998</v>
      </c>
      <c r="E749" s="33">
        <f>(C749*1.16814159292)+(-1)</f>
        <v>20.260176991144</v>
      </c>
      <c r="F749" s="33">
        <f>(C749*1.1238938053)+(-4.4)</f>
        <v>16.05486725646</v>
      </c>
      <c r="G749" s="33">
        <f>(C749*1.06194690265)+(-5.9)</f>
        <v>13.427433628229997</v>
      </c>
      <c r="H749" s="34">
        <f>(C749*1.19469026548)+(0)</f>
        <v>21.743362831736</v>
      </c>
      <c r="I749" s="34">
        <f>(C749*1.16814159292)+(-2)</f>
        <v>19.260176991144</v>
      </c>
      <c r="J749" s="34">
        <f>(C749*1.1238938053)+(-3.9)</f>
        <v>16.554867256460003</v>
      </c>
      <c r="K749" s="34">
        <f>(C749*1.07964601769)+(-5.6)</f>
        <v>14.049557521957999</v>
      </c>
    </row>
    <row r="750" spans="1:11" s="21" customFormat="1" ht="19.95" customHeight="1" x14ac:dyDescent="0.25">
      <c r="A750" s="13" t="str">
        <f>"16306"</f>
        <v>16306</v>
      </c>
      <c r="B750" s="14" t="s">
        <v>1097</v>
      </c>
      <c r="C750" s="13" t="str">
        <f>"17.2"</f>
        <v>17.2</v>
      </c>
      <c r="D750" s="32">
        <f>(C750*1.24778761061)+(0.4)</f>
        <v>21.861946902492001</v>
      </c>
      <c r="E750" s="33">
        <f>(C750*1.16814159292)+(-1)</f>
        <v>19.092035398224002</v>
      </c>
      <c r="F750" s="33">
        <f>(C750*1.1238938053)+(-4.4)</f>
        <v>14.930973451159998</v>
      </c>
      <c r="G750" s="33">
        <f>(C750*1.06194690265)+(-5.9)</f>
        <v>12.365486725579997</v>
      </c>
      <c r="H750" s="34">
        <f>(C750*1.19469026548)+(0)</f>
        <v>20.548672566255998</v>
      </c>
      <c r="I750" s="34">
        <f>(C750*1.16814159292)+(-2)</f>
        <v>18.092035398224002</v>
      </c>
      <c r="J750" s="34">
        <f>(C750*1.1238938053)+(-3.9)</f>
        <v>15.430973451159998</v>
      </c>
      <c r="K750" s="34">
        <f>(C750*1.07964601769)+(-5.6)</f>
        <v>12.969911504268</v>
      </c>
    </row>
    <row r="751" spans="1:11" s="21" customFormat="1" ht="19.95" customHeight="1" x14ac:dyDescent="0.25">
      <c r="A751" s="13" t="str">
        <f>"50933"</f>
        <v>50933</v>
      </c>
      <c r="B751" s="14" t="s">
        <v>1098</v>
      </c>
      <c r="C751" s="13" t="str">
        <f>"16.6"</f>
        <v>16.6</v>
      </c>
      <c r="D751" s="32">
        <f>(C751*1.24778761061)+(0.4)</f>
        <v>21.113274336126</v>
      </c>
      <c r="E751" s="33">
        <f>(C751*1.16814159292)+(-1)</f>
        <v>18.391150442472004</v>
      </c>
      <c r="F751" s="33">
        <f>(C751*1.1238938053)+(-4.4)</f>
        <v>14.256637167980001</v>
      </c>
      <c r="G751" s="33">
        <f>(C751*1.06194690265)+(-5.9)</f>
        <v>11.728318583990001</v>
      </c>
      <c r="H751" s="34">
        <f>(C751*1.19469026548)+(0)</f>
        <v>19.831858406968003</v>
      </c>
      <c r="I751" s="34">
        <f>(C751*1.16814159292)+(-2)</f>
        <v>17.391150442472004</v>
      </c>
      <c r="J751" s="34">
        <f>(C751*1.1238938053)+(-3.9)</f>
        <v>14.756637167980001</v>
      </c>
      <c r="K751" s="34">
        <f>(C751*1.07964601769)+(-5.6)</f>
        <v>12.322123893654004</v>
      </c>
    </row>
    <row r="752" spans="1:11" s="21" customFormat="1" ht="19.95" customHeight="1" x14ac:dyDescent="0.25">
      <c r="A752" s="13" t="str">
        <f>"20799"</f>
        <v>20799</v>
      </c>
      <c r="B752" s="14" t="s">
        <v>1099</v>
      </c>
      <c r="C752" s="13" t="str">
        <f>"10.3"</f>
        <v>10.3</v>
      </c>
      <c r="D752" s="32">
        <f>(C752*1.24778761061)+(0.4)</f>
        <v>13.252212389283002</v>
      </c>
      <c r="E752" s="33">
        <f>(C752*1.16814159292)+(-1)</f>
        <v>11.031858407076001</v>
      </c>
      <c r="F752" s="33">
        <f>(C752*1.1238938053)+(-4.4)</f>
        <v>7.1761061945900018</v>
      </c>
      <c r="G752" s="33">
        <f>(C752*1.06194690265)+(-5.9)</f>
        <v>5.0380530972950002</v>
      </c>
      <c r="H752" s="34">
        <f>(C752*1.19469026548)+(0)</f>
        <v>12.305309734444</v>
      </c>
      <c r="I752" s="34">
        <f>(C752*1.16814159292)+(-2)</f>
        <v>10.031858407076001</v>
      </c>
      <c r="J752" s="34">
        <f>(C752*1.1238938053)+(-3.9)</f>
        <v>7.6761061945900018</v>
      </c>
      <c r="K752" s="34">
        <f>(C752*1.07964601769)+(-5.6)</f>
        <v>5.520353982207002</v>
      </c>
    </row>
    <row r="753" spans="1:11" s="21" customFormat="1" ht="19.95" customHeight="1" x14ac:dyDescent="0.25">
      <c r="A753" s="13" t="str">
        <f>"80857"</f>
        <v>80857</v>
      </c>
      <c r="B753" s="14" t="s">
        <v>1100</v>
      </c>
      <c r="C753" s="13" t="str">
        <f>"12.5"</f>
        <v>12.5</v>
      </c>
      <c r="D753" s="32">
        <f>(C753*1.24778761061)+(0.4)</f>
        <v>15.997345132625002</v>
      </c>
      <c r="E753" s="33">
        <f>(C753*1.16814159292)+(-1)</f>
        <v>13.601769911500002</v>
      </c>
      <c r="F753" s="33">
        <f>(C753*1.1238938053)+(-4.4)</f>
        <v>9.648672566250001</v>
      </c>
      <c r="G753" s="33">
        <f>(C753*1.06194690265)+(-5.9)</f>
        <v>7.3743362831249986</v>
      </c>
      <c r="H753" s="34">
        <f>(C753*1.19469026548)+(0)</f>
        <v>14.9336283185</v>
      </c>
      <c r="I753" s="34">
        <f>(C753*1.16814159292)+(-2)</f>
        <v>12.601769911500002</v>
      </c>
      <c r="J753" s="34">
        <f>(C753*1.1238938053)+(-3.9)</f>
        <v>10.148672566250001</v>
      </c>
      <c r="K753" s="34">
        <f>(C753*1.07964601769)+(-5.6)</f>
        <v>7.8955752211250001</v>
      </c>
    </row>
    <row r="754" spans="1:11" s="21" customFormat="1" ht="19.95" customHeight="1" x14ac:dyDescent="0.25">
      <c r="A754" s="13" t="str">
        <f>"48788"</f>
        <v>48788</v>
      </c>
      <c r="B754" s="14" t="s">
        <v>1101</v>
      </c>
      <c r="C754" s="13" t="str">
        <f>"8.7"</f>
        <v>8.7</v>
      </c>
      <c r="D754" s="32">
        <f>(C754*1.24778761061)+(0.4)</f>
        <v>11.255752212307</v>
      </c>
      <c r="E754" s="33">
        <f>(C754*1.16814159292)+(-1)</f>
        <v>9.1628318584039992</v>
      </c>
      <c r="F754" s="33">
        <f>(C754*1.1238938053)+(-4.4)</f>
        <v>5.3778761061099996</v>
      </c>
      <c r="G754" s="33">
        <f>(C754*1.06194690265)+(-5.9)</f>
        <v>3.3389380530549975</v>
      </c>
      <c r="H754" s="34">
        <f>(C754*1.19469026548)+(0)</f>
        <v>10.393805309675999</v>
      </c>
      <c r="I754" s="34">
        <f>(C754*1.16814159292)+(-2)</f>
        <v>8.1628318584039992</v>
      </c>
      <c r="J754" s="34">
        <f>(C754*1.1238938053)+(-3.9)</f>
        <v>5.8778761061099996</v>
      </c>
      <c r="K754" s="34">
        <f>(C754*1.07964601769)+(-5.6)</f>
        <v>3.7929203539029999</v>
      </c>
    </row>
    <row r="755" spans="1:11" s="21" customFormat="1" ht="19.95" customHeight="1" x14ac:dyDescent="0.25">
      <c r="A755" s="13" t="str">
        <f>"16309"</f>
        <v>16309</v>
      </c>
      <c r="B755" s="14" t="s">
        <v>1102</v>
      </c>
      <c r="C755" s="13" t="str">
        <f>"12.6"</f>
        <v>12.6</v>
      </c>
      <c r="D755" s="32">
        <f>(C755*1.24778761061)+(0.4)</f>
        <v>16.122123893686002</v>
      </c>
      <c r="E755" s="33">
        <f>(C755*1.16814159292)+(-1)</f>
        <v>13.718584070792001</v>
      </c>
      <c r="F755" s="33">
        <f>(C755*1.1238938053)+(-4.4)</f>
        <v>9.7610619467799999</v>
      </c>
      <c r="G755" s="33">
        <f>(C755*1.06194690265)+(-5.9)</f>
        <v>7.4805309733899978</v>
      </c>
      <c r="H755" s="34">
        <f>(C755*1.19469026548)+(0)</f>
        <v>15.053097345048</v>
      </c>
      <c r="I755" s="34">
        <f>(C755*1.16814159292)+(-2)</f>
        <v>12.718584070792001</v>
      </c>
      <c r="J755" s="34">
        <f>(C755*1.1238938053)+(-3.9)</f>
        <v>10.26106194678</v>
      </c>
      <c r="K755" s="34">
        <f>(C755*1.07964601769)+(-5.6)</f>
        <v>8.003539822894</v>
      </c>
    </row>
    <row r="756" spans="1:11" s="21" customFormat="1" ht="19.95" customHeight="1" x14ac:dyDescent="0.25">
      <c r="A756" s="13" t="str">
        <f>"1014859"</f>
        <v>1014859</v>
      </c>
      <c r="B756" s="14" t="s">
        <v>1103</v>
      </c>
      <c r="C756" s="13" t="str">
        <f>"22.1"</f>
        <v>22.1</v>
      </c>
      <c r="D756" s="32">
        <f>(C756*1.24778761061)+(0.4)</f>
        <v>27.976106194481002</v>
      </c>
      <c r="E756" s="33">
        <f>(C756*1.16814159292)+(-1)</f>
        <v>24.815929203532004</v>
      </c>
      <c r="F756" s="33">
        <f>(C756*1.1238938053)+(-4.4)</f>
        <v>20.438053097130002</v>
      </c>
      <c r="G756" s="33">
        <f>(C756*1.06194690265)+(-5.9)</f>
        <v>17.569026548564999</v>
      </c>
      <c r="H756" s="34">
        <f>(C756*1.19469026548)+(0)</f>
        <v>26.402654867108001</v>
      </c>
      <c r="I756" s="34">
        <f>(C756*1.16814159292)+(-2)</f>
        <v>23.815929203532004</v>
      </c>
      <c r="J756" s="34">
        <f>(C756*1.1238938053)+(-3.9)</f>
        <v>20.938053097130005</v>
      </c>
      <c r="K756" s="34">
        <f>(C756*1.07964601769)+(-5.6)</f>
        <v>18.260176990948999</v>
      </c>
    </row>
    <row r="757" spans="1:11" s="21" customFormat="1" ht="19.95" customHeight="1" x14ac:dyDescent="0.25">
      <c r="A757" s="13" t="str">
        <f>"1007160"</f>
        <v>1007160</v>
      </c>
      <c r="B757" s="14" t="s">
        <v>1104</v>
      </c>
      <c r="C757" s="13" t="str">
        <f>"19.2"</f>
        <v>19.2</v>
      </c>
      <c r="D757" s="32">
        <f>(C757*1.24778761061)+(0.4)</f>
        <v>24.357522123711998</v>
      </c>
      <c r="E757" s="33">
        <f>(C757*1.16814159292)+(-1)</f>
        <v>21.428318584064002</v>
      </c>
      <c r="F757" s="33">
        <f>(C757*1.1238938053)+(-4.4)</f>
        <v>17.17876106176</v>
      </c>
      <c r="G757" s="33">
        <f>(C757*1.06194690265)+(-5.9)</f>
        <v>14.489380530879997</v>
      </c>
      <c r="H757" s="34">
        <f>(C757*1.19469026548)+(0)</f>
        <v>22.938053097215999</v>
      </c>
      <c r="I757" s="34">
        <f>(C757*1.16814159292)+(-2)</f>
        <v>20.428318584064002</v>
      </c>
      <c r="J757" s="34">
        <f>(C757*1.1238938053)+(-3.9)</f>
        <v>17.678761061760003</v>
      </c>
      <c r="K757" s="34">
        <f>(C757*1.07964601769)+(-5.6)</f>
        <v>15.129203539648001</v>
      </c>
    </row>
    <row r="758" spans="1:11" s="21" customFormat="1" ht="19.95" customHeight="1" x14ac:dyDescent="0.25">
      <c r="A758" s="13" t="str">
        <f>"64285"</f>
        <v>64285</v>
      </c>
      <c r="B758" s="14" t="s">
        <v>1105</v>
      </c>
      <c r="C758" s="13" t="str">
        <f>"14.4"</f>
        <v>14.4</v>
      </c>
      <c r="D758" s="32">
        <f>(C758*1.24778761061)+(0.4)</f>
        <v>18.368141592783999</v>
      </c>
      <c r="E758" s="33">
        <f>(C758*1.16814159292)+(-1)</f>
        <v>15.821238938048001</v>
      </c>
      <c r="F758" s="33">
        <f>(C758*1.1238938053)+(-4.4)</f>
        <v>11.78407079632</v>
      </c>
      <c r="G758" s="33">
        <f>(C758*1.06194690265)+(-5.9)</f>
        <v>9.3920353981599991</v>
      </c>
      <c r="H758" s="34">
        <f>(C758*1.19469026548)+(0)</f>
        <v>17.203539822911999</v>
      </c>
      <c r="I758" s="34">
        <f>(C758*1.16814159292)+(-2)</f>
        <v>14.821238938048001</v>
      </c>
      <c r="J758" s="34">
        <f>(C758*1.1238938053)+(-3.9)</f>
        <v>12.28407079632</v>
      </c>
      <c r="K758" s="34">
        <f>(C758*1.07964601769)+(-5.6)</f>
        <v>9.9469026547360002</v>
      </c>
    </row>
    <row r="759" spans="1:11" s="21" customFormat="1" ht="19.95" customHeight="1" x14ac:dyDescent="0.25">
      <c r="A759" s="13" t="str">
        <f>"16310"</f>
        <v>16310</v>
      </c>
      <c r="B759" s="14" t="s">
        <v>1106</v>
      </c>
      <c r="C759" s="13" t="str">
        <f>"15.0"</f>
        <v>15.0</v>
      </c>
      <c r="D759" s="32">
        <f>(C759*1.24778761061)+(0.4)</f>
        <v>19.11681415915</v>
      </c>
      <c r="E759" s="33">
        <f>(C759*1.16814159292)+(-1)</f>
        <v>16.5221238938</v>
      </c>
      <c r="F759" s="33">
        <f>(C759*1.1238938053)+(-4.4)</f>
        <v>12.458407079500001</v>
      </c>
      <c r="G759" s="33">
        <f>(C759*1.06194690265)+(-5.9)</f>
        <v>10.029203539749998</v>
      </c>
      <c r="H759" s="34">
        <f>(C759*1.19469026548)+(0)</f>
        <v>17.920353982200002</v>
      </c>
      <c r="I759" s="34">
        <f>(C759*1.16814159292)+(-2)</f>
        <v>15.5221238938</v>
      </c>
      <c r="J759" s="34">
        <f>(C759*1.1238938053)+(-3.9)</f>
        <v>12.958407079500001</v>
      </c>
      <c r="K759" s="34">
        <f>(C759*1.07964601769)+(-5.6)</f>
        <v>10.594690265350001</v>
      </c>
    </row>
    <row r="760" spans="1:11" s="21" customFormat="1" ht="19.95" customHeight="1" x14ac:dyDescent="0.25">
      <c r="A760" s="13" t="str">
        <f>"16312"</f>
        <v>16312</v>
      </c>
      <c r="B760" s="14" t="s">
        <v>1107</v>
      </c>
      <c r="C760" s="13" t="str">
        <f>"22.8"</f>
        <v>22.8</v>
      </c>
      <c r="D760" s="32">
        <f>(C760*1.24778761061)+(0.4)</f>
        <v>28.849557521908</v>
      </c>
      <c r="E760" s="33">
        <f>(C760*1.16814159292)+(-1)</f>
        <v>25.633628318576001</v>
      </c>
      <c r="F760" s="33">
        <f>(C760*1.1238938053)+(-4.4)</f>
        <v>21.224778760840003</v>
      </c>
      <c r="G760" s="33">
        <f>(C760*1.06194690265)+(-5.9)</f>
        <v>18.312389380420001</v>
      </c>
      <c r="H760" s="34">
        <f>(C760*1.19469026548)+(0)</f>
        <v>27.238938052944</v>
      </c>
      <c r="I760" s="34">
        <f>(C760*1.16814159292)+(-2)</f>
        <v>24.633628318576001</v>
      </c>
      <c r="J760" s="34">
        <f>(C760*1.1238938053)+(-3.9)</f>
        <v>21.724778760840003</v>
      </c>
      <c r="K760" s="34">
        <f>(C760*1.07964601769)+(-5.6)</f>
        <v>19.015929203332</v>
      </c>
    </row>
    <row r="761" spans="1:11" s="21" customFormat="1" ht="19.95" customHeight="1" x14ac:dyDescent="0.25">
      <c r="A761" s="13" t="str">
        <f>"16313"</f>
        <v>16313</v>
      </c>
      <c r="B761" s="14" t="s">
        <v>1108</v>
      </c>
      <c r="C761" s="13" t="str">
        <f>"18.0"</f>
        <v>18.0</v>
      </c>
      <c r="D761" s="32">
        <f>(C761*1.24778761061)+(0.4)</f>
        <v>22.860176990980001</v>
      </c>
      <c r="E761" s="33">
        <f>(C761*1.16814159292)+(-1)</f>
        <v>20.026548672560001</v>
      </c>
      <c r="F761" s="33">
        <f>(C761*1.1238938053)+(-4.4)</f>
        <v>15.8300884954</v>
      </c>
      <c r="G761" s="33">
        <f>(C761*1.06194690265)+(-5.9)</f>
        <v>13.215044247699998</v>
      </c>
      <c r="H761" s="34">
        <f>(C761*1.19469026548)+(0)</f>
        <v>21.504424778640001</v>
      </c>
      <c r="I761" s="34">
        <f>(C761*1.16814159292)+(-2)</f>
        <v>19.026548672560001</v>
      </c>
      <c r="J761" s="34">
        <f>(C761*1.1238938053)+(-3.9)</f>
        <v>16.330088495400002</v>
      </c>
      <c r="K761" s="34">
        <f>(C761*1.07964601769)+(-5.6)</f>
        <v>13.833628318419999</v>
      </c>
    </row>
    <row r="762" spans="1:11" s="21" customFormat="1" ht="19.95" customHeight="1" x14ac:dyDescent="0.25">
      <c r="A762" s="13" t="str">
        <f>"50318"</f>
        <v>50318</v>
      </c>
      <c r="B762" s="14" t="s">
        <v>1109</v>
      </c>
      <c r="C762" s="13" t="str">
        <f>"13.8"</f>
        <v>13.8</v>
      </c>
      <c r="D762" s="32">
        <f>(C762*1.24778761061)+(0.4)</f>
        <v>17.619469026418002</v>
      </c>
      <c r="E762" s="33">
        <f>(C762*1.16814159292)+(-1)</f>
        <v>15.120353982296002</v>
      </c>
      <c r="F762" s="33">
        <f>(C762*1.1238938053)+(-4.4)</f>
        <v>11.109734513140001</v>
      </c>
      <c r="G762" s="33">
        <f>(C762*1.06194690265)+(-5.9)</f>
        <v>8.7548672565699999</v>
      </c>
      <c r="H762" s="34">
        <f>(C762*1.19469026548)+(0)</f>
        <v>16.486725663624</v>
      </c>
      <c r="I762" s="34">
        <f>(C762*1.16814159292)+(-2)</f>
        <v>14.120353982296002</v>
      </c>
      <c r="J762" s="34">
        <f>(C762*1.1238938053)+(-3.9)</f>
        <v>11.609734513140001</v>
      </c>
      <c r="K762" s="34">
        <f>(C762*1.07964601769)+(-5.6)</f>
        <v>9.2991150441220007</v>
      </c>
    </row>
    <row r="763" spans="1:11" s="21" customFormat="1" ht="19.95" customHeight="1" x14ac:dyDescent="0.25">
      <c r="A763" s="13" t="str">
        <f>"76113"</f>
        <v>76113</v>
      </c>
      <c r="B763" s="14" t="s">
        <v>1110</v>
      </c>
      <c r="C763" s="13" t="str">
        <f>"18.8"</f>
        <v>18.8</v>
      </c>
      <c r="D763" s="32">
        <f>(C763*1.24778761061)+(0.4)</f>
        <v>23.858407079468002</v>
      </c>
      <c r="E763" s="33">
        <f>(C763*1.16814159292)+(-1)</f>
        <v>20.961061946896002</v>
      </c>
      <c r="F763" s="33">
        <f>(C763*1.1238938053)+(-4.4)</f>
        <v>16.729203539640004</v>
      </c>
      <c r="G763" s="33">
        <f>(C763*1.06194690265)+(-5.9)</f>
        <v>14.064601769819999</v>
      </c>
      <c r="H763" s="34">
        <f>(C763*1.19469026548)+(0)</f>
        <v>22.460176991023999</v>
      </c>
      <c r="I763" s="34">
        <f>(C763*1.16814159292)+(-2)</f>
        <v>19.961061946896002</v>
      </c>
      <c r="J763" s="34">
        <f>(C763*1.1238938053)+(-3.9)</f>
        <v>17.229203539640004</v>
      </c>
      <c r="K763" s="34">
        <f>(C763*1.07964601769)+(-5.6)</f>
        <v>14.697345132572002</v>
      </c>
    </row>
    <row r="764" spans="1:11" s="21" customFormat="1" ht="19.95" customHeight="1" x14ac:dyDescent="0.25">
      <c r="A764" s="13" t="str">
        <f>"43915"</f>
        <v>43915</v>
      </c>
      <c r="B764" s="14" t="s">
        <v>1111</v>
      </c>
      <c r="C764" s="13" t="str">
        <f>"21.7"</f>
        <v>21.7</v>
      </c>
      <c r="D764" s="32">
        <f>(C764*1.24778761061)+(0.4)</f>
        <v>27.476991150237001</v>
      </c>
      <c r="E764" s="33">
        <f>(C764*1.16814159292)+(-1)</f>
        <v>24.348672566364002</v>
      </c>
      <c r="F764" s="33">
        <f>(C764*1.1238938053)+(-4.4)</f>
        <v>19.988495575009999</v>
      </c>
      <c r="G764" s="33">
        <f>(C764*1.06194690265)+(-5.9)</f>
        <v>17.144247787504995</v>
      </c>
      <c r="H764" s="34">
        <f>(C764*1.19469026548)+(0)</f>
        <v>25.924778760915999</v>
      </c>
      <c r="I764" s="34">
        <f>(C764*1.16814159292)+(-2)</f>
        <v>23.348672566364002</v>
      </c>
      <c r="J764" s="34">
        <f>(C764*1.1238938053)+(-3.9)</f>
        <v>20.488495575010003</v>
      </c>
      <c r="K764" s="34">
        <f>(C764*1.07964601769)+(-5.6)</f>
        <v>17.828318583872999</v>
      </c>
    </row>
    <row r="765" spans="1:11" s="21" customFormat="1" ht="19.95" customHeight="1" x14ac:dyDescent="0.25">
      <c r="A765" s="13" t="str">
        <f>"78097"</f>
        <v>78097</v>
      </c>
      <c r="B765" s="14" t="s">
        <v>1112</v>
      </c>
      <c r="C765" s="13" t="str">
        <f>"14.7"</f>
        <v>14.7</v>
      </c>
      <c r="D765" s="32">
        <f>(C765*1.24778761061)+(0.4)</f>
        <v>18.742477875966998</v>
      </c>
      <c r="E765" s="33">
        <f>(C765*1.16814159292)+(-1)</f>
        <v>16.171681415923999</v>
      </c>
      <c r="F765" s="33">
        <f>(C765*1.1238938053)+(-4.4)</f>
        <v>12.121238937909999</v>
      </c>
      <c r="G765" s="33">
        <f>(C765*1.06194690265)+(-5.9)</f>
        <v>9.7106194689549969</v>
      </c>
      <c r="H765" s="34">
        <f>(C765*1.19469026548)+(0)</f>
        <v>17.561946902555999</v>
      </c>
      <c r="I765" s="34">
        <f>(C765*1.16814159292)+(-2)</f>
        <v>15.171681415923999</v>
      </c>
      <c r="J765" s="34">
        <f>(C765*1.1238938053)+(-3.9)</f>
        <v>12.621238937909999</v>
      </c>
      <c r="K765" s="34">
        <f>(C765*1.07964601769)+(-5.6)</f>
        <v>10.270796460043</v>
      </c>
    </row>
    <row r="766" spans="1:11" s="21" customFormat="1" ht="19.95" customHeight="1" x14ac:dyDescent="0.25">
      <c r="A766" s="13" t="str">
        <f>"1011981"</f>
        <v>1011981</v>
      </c>
      <c r="B766" s="14" t="s">
        <v>1113</v>
      </c>
      <c r="C766" s="13" t="str">
        <f>"15.4"</f>
        <v>15.4</v>
      </c>
      <c r="D766" s="32">
        <f>(C766*1.24778761061)+(0.4)</f>
        <v>19.615929203394</v>
      </c>
      <c r="E766" s="33">
        <f>(C766*1.16814159292)+(-1)</f>
        <v>16.989380530968003</v>
      </c>
      <c r="F766" s="33">
        <f>(C766*1.1238938053)+(-4.4)</f>
        <v>12.90796460162</v>
      </c>
      <c r="G766" s="33">
        <f>(C766*1.06194690265)+(-5.9)</f>
        <v>10.453982300809999</v>
      </c>
      <c r="H766" s="34">
        <f>(C766*1.19469026548)+(0)</f>
        <v>18.398230088392001</v>
      </c>
      <c r="I766" s="34">
        <f>(C766*1.16814159292)+(-2)</f>
        <v>15.989380530968003</v>
      </c>
      <c r="J766" s="34">
        <f>(C766*1.1238938053)+(-3.9)</f>
        <v>13.40796460162</v>
      </c>
      <c r="K766" s="34">
        <f>(C766*1.07964601769)+(-5.6)</f>
        <v>11.026548672426001</v>
      </c>
    </row>
    <row r="767" spans="1:11" s="21" customFormat="1" ht="19.95" customHeight="1" x14ac:dyDescent="0.25">
      <c r="A767" s="13" t="str">
        <f>"1014835"</f>
        <v>1014835</v>
      </c>
      <c r="B767" s="14" t="s">
        <v>1114</v>
      </c>
      <c r="C767" s="13" t="str">
        <f>"19.0000"</f>
        <v>19.0000</v>
      </c>
      <c r="D767" s="32">
        <f>(C767*1.24778761061)+(0.4)</f>
        <v>24.107964601590002</v>
      </c>
      <c r="E767" s="33">
        <f>(C767*1.16814159292)+(-1)</f>
        <v>21.194690265480002</v>
      </c>
      <c r="F767" s="33">
        <f>(C767*1.1238938053)+(-4.4)</f>
        <v>16.953982300699998</v>
      </c>
      <c r="G767" s="33">
        <f>(C767*1.06194690265)+(-5.9)</f>
        <v>14.276991150349998</v>
      </c>
      <c r="H767" s="34">
        <f>(C767*1.19469026548)+(0)</f>
        <v>22.699115044119999</v>
      </c>
      <c r="I767" s="34">
        <f>(C767*1.16814159292)+(-2)</f>
        <v>20.194690265480002</v>
      </c>
      <c r="J767" s="34">
        <f>(C767*1.1238938053)+(-3.9)</f>
        <v>17.453982300700002</v>
      </c>
      <c r="K767" s="34">
        <f>(C767*1.07964601769)+(-5.6)</f>
        <v>14.913274336110002</v>
      </c>
    </row>
    <row r="768" spans="1:11" s="21" customFormat="1" ht="19.95" customHeight="1" x14ac:dyDescent="0.25">
      <c r="A768" s="13" t="str">
        <f>"1000950"</f>
        <v>1000950</v>
      </c>
      <c r="B768" s="14" t="s">
        <v>1115</v>
      </c>
      <c r="C768" s="13" t="str">
        <f>"10.1"</f>
        <v>10.1</v>
      </c>
      <c r="D768" s="32">
        <f>(C768*1.24778761061)+(0.4)</f>
        <v>13.002654867161</v>
      </c>
      <c r="E768" s="33">
        <f>(C768*1.16814159292)+(-1)</f>
        <v>10.798230088492</v>
      </c>
      <c r="F768" s="33">
        <f>(C768*1.1238938053)+(-4.4)</f>
        <v>6.9513274335300004</v>
      </c>
      <c r="G768" s="33">
        <f>(C768*1.06194690265)+(-5.9)</f>
        <v>4.8256637167649981</v>
      </c>
      <c r="H768" s="34">
        <f>(C768*1.19469026548)+(0)</f>
        <v>12.066371681348</v>
      </c>
      <c r="I768" s="34">
        <f>(C768*1.16814159292)+(-2)</f>
        <v>9.7982300884919997</v>
      </c>
      <c r="J768" s="34">
        <f>(C768*1.1238938053)+(-3.9)</f>
        <v>7.4513274335300004</v>
      </c>
      <c r="K768" s="34">
        <f>(C768*1.07964601769)+(-5.6)</f>
        <v>5.3044247786690004</v>
      </c>
    </row>
    <row r="769" spans="1:11" s="21" customFormat="1" ht="19.95" customHeight="1" x14ac:dyDescent="0.25">
      <c r="A769" s="13" t="str">
        <f>"75344"</f>
        <v>75344</v>
      </c>
      <c r="B769" s="14" t="s">
        <v>1116</v>
      </c>
      <c r="C769" s="13" t="str">
        <f>"14.4"</f>
        <v>14.4</v>
      </c>
      <c r="D769" s="32">
        <f>(C769*1.24778761061)+(0.4)</f>
        <v>18.368141592783999</v>
      </c>
      <c r="E769" s="33">
        <f>(C769*1.16814159292)+(-1)</f>
        <v>15.821238938048001</v>
      </c>
      <c r="F769" s="33">
        <f>(C769*1.1238938053)+(-4.4)</f>
        <v>11.78407079632</v>
      </c>
      <c r="G769" s="33">
        <f>(C769*1.06194690265)+(-5.9)</f>
        <v>9.3920353981599991</v>
      </c>
      <c r="H769" s="34">
        <f>(C769*1.19469026548)+(0)</f>
        <v>17.203539822911999</v>
      </c>
      <c r="I769" s="34">
        <f>(C769*1.16814159292)+(-2)</f>
        <v>14.821238938048001</v>
      </c>
      <c r="J769" s="34">
        <f>(C769*1.1238938053)+(-3.9)</f>
        <v>12.28407079632</v>
      </c>
      <c r="K769" s="34">
        <f>(C769*1.07964601769)+(-5.6)</f>
        <v>9.9469026547360002</v>
      </c>
    </row>
    <row r="770" spans="1:11" s="21" customFormat="1" ht="19.95" customHeight="1" x14ac:dyDescent="0.25">
      <c r="A770" s="13" t="str">
        <f>"66338"</f>
        <v>66338</v>
      </c>
      <c r="B770" s="14" t="s">
        <v>1117</v>
      </c>
      <c r="C770" s="13" t="str">
        <f>"10.7"</f>
        <v>10.7</v>
      </c>
      <c r="D770" s="32">
        <f>(C770*1.24778761061)+(0.4)</f>
        <v>13.751327433527001</v>
      </c>
      <c r="E770" s="33">
        <f>(C770*1.16814159292)+(-1)</f>
        <v>11.499115044244</v>
      </c>
      <c r="F770" s="33">
        <f>(C770*1.1238938053)+(-4.4)</f>
        <v>7.6256637167099992</v>
      </c>
      <c r="G770" s="33">
        <f>(C770*1.06194690265)+(-5.9)</f>
        <v>5.4628318583549973</v>
      </c>
      <c r="H770" s="34">
        <f>(C770*1.19469026548)+(0)</f>
        <v>12.783185840635999</v>
      </c>
      <c r="I770" s="34">
        <f>(C770*1.16814159292)+(-2)</f>
        <v>10.499115044244</v>
      </c>
      <c r="J770" s="34">
        <f>(C770*1.1238938053)+(-3.9)</f>
        <v>8.1256637167099992</v>
      </c>
      <c r="K770" s="34">
        <f>(C770*1.07964601769)+(-5.6)</f>
        <v>5.9522123892829999</v>
      </c>
    </row>
    <row r="771" spans="1:11" s="21" customFormat="1" ht="19.95" customHeight="1" x14ac:dyDescent="0.25">
      <c r="A771" s="13" t="str">
        <f>"16318"</f>
        <v>16318</v>
      </c>
      <c r="B771" s="14" t="s">
        <v>1118</v>
      </c>
      <c r="C771" s="13" t="str">
        <f>"10.9"</f>
        <v>10.9</v>
      </c>
      <c r="D771" s="32">
        <f>(C771*1.24778761061)+(0.4)</f>
        <v>14.000884955649003</v>
      </c>
      <c r="E771" s="33">
        <f>(C771*1.16814159292)+(-1)</f>
        <v>11.732743362828002</v>
      </c>
      <c r="F771" s="33">
        <f>(C771*1.1238938053)+(-4.4)</f>
        <v>7.8504424777700006</v>
      </c>
      <c r="G771" s="33">
        <f>(C771*1.06194690265)+(-5.9)</f>
        <v>5.6752212388849994</v>
      </c>
      <c r="H771" s="34">
        <f>(C771*1.19469026548)+(0)</f>
        <v>13.022123893732001</v>
      </c>
      <c r="I771" s="34">
        <f>(C771*1.16814159292)+(-2)</f>
        <v>10.732743362828002</v>
      </c>
      <c r="J771" s="34">
        <f>(C771*1.1238938053)+(-3.9)</f>
        <v>8.3504424777700006</v>
      </c>
      <c r="K771" s="34">
        <f>(C771*1.07964601769)+(-5.6)</f>
        <v>6.1681415928210015</v>
      </c>
    </row>
    <row r="772" spans="1:11" s="21" customFormat="1" ht="19.95" customHeight="1" x14ac:dyDescent="0.25">
      <c r="A772" s="13" t="str">
        <f>"16321"</f>
        <v>16321</v>
      </c>
      <c r="B772" s="14" t="s">
        <v>1119</v>
      </c>
      <c r="C772" s="13" t="str">
        <f>"22.1"</f>
        <v>22.1</v>
      </c>
      <c r="D772" s="32">
        <f>(C772*1.24778761061)+(0.4)</f>
        <v>27.976106194481002</v>
      </c>
      <c r="E772" s="33">
        <f>(C772*1.16814159292)+(-1)</f>
        <v>24.815929203532004</v>
      </c>
      <c r="F772" s="33">
        <f>(C772*1.1238938053)+(-4.4)</f>
        <v>20.438053097130002</v>
      </c>
      <c r="G772" s="33">
        <f>(C772*1.06194690265)+(-5.9)</f>
        <v>17.569026548564999</v>
      </c>
      <c r="H772" s="34">
        <f>(C772*1.19469026548)+(0)</f>
        <v>26.402654867108001</v>
      </c>
      <c r="I772" s="34">
        <f>(C772*1.16814159292)+(-2)</f>
        <v>23.815929203532004</v>
      </c>
      <c r="J772" s="34">
        <f>(C772*1.1238938053)+(-3.9)</f>
        <v>20.938053097130005</v>
      </c>
      <c r="K772" s="34">
        <f>(C772*1.07964601769)+(-5.6)</f>
        <v>18.260176990948999</v>
      </c>
    </row>
    <row r="773" spans="1:11" s="21" customFormat="1" ht="19.95" customHeight="1" x14ac:dyDescent="0.25">
      <c r="A773" s="13" t="str">
        <f>"1015750"</f>
        <v>1015750</v>
      </c>
      <c r="B773" s="14" t="s">
        <v>1120</v>
      </c>
      <c r="C773" s="13" t="str">
        <f>"4.4"</f>
        <v>4.4</v>
      </c>
      <c r="D773" s="32">
        <f>(C773*1.24778761061)+(0.4)</f>
        <v>5.890265486684001</v>
      </c>
      <c r="E773" s="33">
        <f>(C773*1.16814159292)+(-1)</f>
        <v>4.1398230088480004</v>
      </c>
      <c r="F773" s="33">
        <f>(C773*1.1238938053)+(-4.4)</f>
        <v>0.54513274331999995</v>
      </c>
      <c r="G773" s="33">
        <f>(C773*1.06194690265)+(-5.9)</f>
        <v>-1.22743362834</v>
      </c>
      <c r="H773" s="34">
        <f>(C773*1.19469026548)+(0)</f>
        <v>5.2566371681120003</v>
      </c>
      <c r="I773" s="34">
        <f>(C773*1.16814159292)+(-2)</f>
        <v>3.1398230088480004</v>
      </c>
      <c r="J773" s="34">
        <f>(C773*1.1238938053)+(-3.9)</f>
        <v>1.0451327433200004</v>
      </c>
      <c r="K773" s="34">
        <f>(C773*1.07964601769)+(-5.6)</f>
        <v>-0.84955752216399905</v>
      </c>
    </row>
    <row r="774" spans="1:11" s="21" customFormat="1" ht="19.95" customHeight="1" x14ac:dyDescent="0.25">
      <c r="A774" s="13" t="str">
        <f>"45753"</f>
        <v>45753</v>
      </c>
      <c r="B774" s="14" t="s">
        <v>1121</v>
      </c>
      <c r="C774" s="13" t="str">
        <f>"12.5"</f>
        <v>12.5</v>
      </c>
      <c r="D774" s="32">
        <f>(C774*1.24778761061)+(0.4)</f>
        <v>15.997345132625002</v>
      </c>
      <c r="E774" s="33">
        <f>(C774*1.16814159292)+(-1)</f>
        <v>13.601769911500002</v>
      </c>
      <c r="F774" s="33">
        <f>(C774*1.1238938053)+(-4.4)</f>
        <v>9.648672566250001</v>
      </c>
      <c r="G774" s="33">
        <f>(C774*1.06194690265)+(-5.9)</f>
        <v>7.3743362831249986</v>
      </c>
      <c r="H774" s="34">
        <f>(C774*1.19469026548)+(0)</f>
        <v>14.9336283185</v>
      </c>
      <c r="I774" s="34">
        <f>(C774*1.16814159292)+(-2)</f>
        <v>12.601769911500002</v>
      </c>
      <c r="J774" s="34">
        <f>(C774*1.1238938053)+(-3.9)</f>
        <v>10.148672566250001</v>
      </c>
      <c r="K774" s="34">
        <f>(C774*1.07964601769)+(-5.6)</f>
        <v>7.8955752211250001</v>
      </c>
    </row>
    <row r="775" spans="1:11" s="21" customFormat="1" ht="19.95" customHeight="1" x14ac:dyDescent="0.25">
      <c r="A775" s="13" t="str">
        <f>"73740"</f>
        <v>73740</v>
      </c>
      <c r="B775" s="14" t="s">
        <v>1122</v>
      </c>
      <c r="C775" s="13" t="str">
        <f>"19.0"</f>
        <v>19.0</v>
      </c>
      <c r="D775" s="32">
        <f>(C775*1.24778761061)+(0.4)</f>
        <v>24.107964601590002</v>
      </c>
      <c r="E775" s="33">
        <f>(C775*1.16814159292)+(-1)</f>
        <v>21.194690265480002</v>
      </c>
      <c r="F775" s="33">
        <f>(C775*1.1238938053)+(-4.4)</f>
        <v>16.953982300699998</v>
      </c>
      <c r="G775" s="33">
        <f>(C775*1.06194690265)+(-5.9)</f>
        <v>14.276991150349998</v>
      </c>
      <c r="H775" s="34">
        <f>(C775*1.19469026548)+(0)</f>
        <v>22.699115044119999</v>
      </c>
      <c r="I775" s="34">
        <f>(C775*1.16814159292)+(-2)</f>
        <v>20.194690265480002</v>
      </c>
      <c r="J775" s="34">
        <f>(C775*1.1238938053)+(-3.9)</f>
        <v>17.453982300700002</v>
      </c>
      <c r="K775" s="34">
        <f>(C775*1.07964601769)+(-5.6)</f>
        <v>14.913274336110002</v>
      </c>
    </row>
    <row r="776" spans="1:11" s="21" customFormat="1" ht="19.95" customHeight="1" x14ac:dyDescent="0.25">
      <c r="A776" s="13" t="str">
        <f>"1003951"</f>
        <v>1003951</v>
      </c>
      <c r="B776" s="14" t="s">
        <v>1123</v>
      </c>
      <c r="C776" s="13" t="str">
        <f>"28.0"</f>
        <v>28.0</v>
      </c>
      <c r="D776" s="32">
        <f>(C776*1.24778761061)+(0.4)</f>
        <v>35.33805309708</v>
      </c>
      <c r="E776" s="33">
        <f>(C776*1.16814159292)+(-1)</f>
        <v>31.707964601760004</v>
      </c>
      <c r="F776" s="33">
        <f>(C776*1.1238938053)+(-4.4)</f>
        <v>27.069026548400004</v>
      </c>
      <c r="G776" s="33">
        <f>(C776*1.06194690265)+(-5.9)</f>
        <v>23.834513274199999</v>
      </c>
      <c r="H776" s="34">
        <f>(C776*1.19469026548)+(0)</f>
        <v>33.451327433439999</v>
      </c>
      <c r="I776" s="34">
        <f>(C776*1.16814159292)+(-2)</f>
        <v>30.707964601760004</v>
      </c>
      <c r="J776" s="34">
        <f>(C776*1.1238938053)+(-3.9)</f>
        <v>27.569026548400004</v>
      </c>
      <c r="K776" s="34">
        <f>(C776*1.07964601769)+(-5.6)</f>
        <v>24.630088495320003</v>
      </c>
    </row>
    <row r="777" spans="1:11" s="21" customFormat="1" ht="19.95" customHeight="1" x14ac:dyDescent="0.25">
      <c r="A777" s="13" t="str">
        <f>"1005588"</f>
        <v>1005588</v>
      </c>
      <c r="B777" s="14" t="s">
        <v>1124</v>
      </c>
      <c r="C777" s="13" t="str">
        <f>"15.5"</f>
        <v>15.5</v>
      </c>
      <c r="D777" s="32">
        <f>(C777*1.24778761061)+(0.4)</f>
        <v>19.740707964455002</v>
      </c>
      <c r="E777" s="33">
        <f>(C777*1.16814159292)+(-1)</f>
        <v>17.106194690260001</v>
      </c>
      <c r="F777" s="33">
        <f>(C777*1.1238938053)+(-4.4)</f>
        <v>13.020353982150001</v>
      </c>
      <c r="G777" s="33">
        <f>(C777*1.06194690265)+(-5.9)</f>
        <v>10.560176991074998</v>
      </c>
      <c r="H777" s="34">
        <f>(C777*1.19469026548)+(0)</f>
        <v>18.517699114940001</v>
      </c>
      <c r="I777" s="34">
        <f>(C777*1.16814159292)+(-2)</f>
        <v>16.106194690260001</v>
      </c>
      <c r="J777" s="34">
        <f>(C777*1.1238938053)+(-3.9)</f>
        <v>13.520353982150001</v>
      </c>
      <c r="K777" s="34">
        <f>(C777*1.07964601769)+(-5.6)</f>
        <v>11.134513274194999</v>
      </c>
    </row>
    <row r="778" spans="1:11" s="21" customFormat="1" ht="19.95" customHeight="1" x14ac:dyDescent="0.25">
      <c r="A778" s="13" t="str">
        <f>"1001740"</f>
        <v>1001740</v>
      </c>
      <c r="B778" s="14" t="s">
        <v>1125</v>
      </c>
      <c r="C778" s="13" t="str">
        <f>"20.2"</f>
        <v>20.2</v>
      </c>
      <c r="D778" s="32">
        <f>(C778*1.24778761061)+(0.4)</f>
        <v>25.605309734321999</v>
      </c>
      <c r="E778" s="33">
        <f>(C778*1.16814159292)+(-1)</f>
        <v>22.596460176983999</v>
      </c>
      <c r="F778" s="33">
        <f>(C778*1.1238938053)+(-4.4)</f>
        <v>18.302654867059999</v>
      </c>
      <c r="G778" s="33">
        <f>(C778*1.06194690265)+(-5.9)</f>
        <v>15.551327433529996</v>
      </c>
      <c r="H778" s="34">
        <f>(C778*1.19469026548)+(0)</f>
        <v>24.132743362696001</v>
      </c>
      <c r="I778" s="34">
        <f>(C778*1.16814159292)+(-2)</f>
        <v>21.596460176983999</v>
      </c>
      <c r="J778" s="34">
        <f>(C778*1.1238938053)+(-3.9)</f>
        <v>18.802654867060003</v>
      </c>
      <c r="K778" s="34">
        <f>(C778*1.07964601769)+(-5.6)</f>
        <v>16.208849557337999</v>
      </c>
    </row>
    <row r="779" spans="1:11" s="21" customFormat="1" ht="19.95" customHeight="1" x14ac:dyDescent="0.25">
      <c r="A779" s="13" t="str">
        <f>"48656"</f>
        <v>48656</v>
      </c>
      <c r="B779" s="14" t="s">
        <v>1126</v>
      </c>
      <c r="C779" s="13" t="str">
        <f>"21.8"</f>
        <v>21.8</v>
      </c>
      <c r="D779" s="32">
        <f>(C779*1.24778761061)+(0.4)</f>
        <v>27.601769911298003</v>
      </c>
      <c r="E779" s="33">
        <f>(C779*1.16814159292)+(-1)</f>
        <v>24.465486725656003</v>
      </c>
      <c r="F779" s="33">
        <f>(C779*1.1238938053)+(-4.4)</f>
        <v>20.100884955540003</v>
      </c>
      <c r="G779" s="33">
        <f>(C779*1.06194690265)+(-5.9)</f>
        <v>17.250442477770001</v>
      </c>
      <c r="H779" s="34">
        <f>(C779*1.19469026548)+(0)</f>
        <v>26.044247787464002</v>
      </c>
      <c r="I779" s="34">
        <f>(C779*1.16814159292)+(-2)</f>
        <v>23.465486725656003</v>
      </c>
      <c r="J779" s="34">
        <f>(C779*1.1238938053)+(-3.9)</f>
        <v>20.600884955540003</v>
      </c>
      <c r="K779" s="34">
        <f>(C779*1.07964601769)+(-5.6)</f>
        <v>17.936283185642004</v>
      </c>
    </row>
    <row r="780" spans="1:11" s="21" customFormat="1" ht="19.95" customHeight="1" x14ac:dyDescent="0.25">
      <c r="A780" s="13" t="str">
        <f>"78015"</f>
        <v>78015</v>
      </c>
      <c r="B780" s="14" t="s">
        <v>1127</v>
      </c>
      <c r="C780" s="13" t="str">
        <f>"23.6"</f>
        <v>23.6</v>
      </c>
      <c r="D780" s="32">
        <f>(C780*1.24778761061)+(0.4)</f>
        <v>29.847787610396004</v>
      </c>
      <c r="E780" s="33">
        <f>(C780*1.16814159292)+(-1)</f>
        <v>26.568141592912003</v>
      </c>
      <c r="F780" s="33">
        <f>(C780*1.1238938053)+(-4.4)</f>
        <v>22.123893805080002</v>
      </c>
      <c r="G780" s="33">
        <f>(C780*1.06194690265)+(-5.9)</f>
        <v>19.161946902540002</v>
      </c>
      <c r="H780" s="34">
        <f>(C780*1.19469026548)+(0)</f>
        <v>28.194690265328003</v>
      </c>
      <c r="I780" s="34">
        <f>(C780*1.16814159292)+(-2)</f>
        <v>25.568141592912003</v>
      </c>
      <c r="J780" s="34">
        <f>(C780*1.1238938053)+(-3.9)</f>
        <v>22.623893805080005</v>
      </c>
      <c r="K780" s="34">
        <f>(C780*1.07964601769)+(-5.6)</f>
        <v>19.879646017483999</v>
      </c>
    </row>
    <row r="781" spans="1:11" s="21" customFormat="1" ht="19.95" customHeight="1" x14ac:dyDescent="0.25">
      <c r="A781" s="13" t="str">
        <f>"1013743"</f>
        <v>1013743</v>
      </c>
      <c r="B781" s="14" t="s">
        <v>1128</v>
      </c>
      <c r="C781" s="13" t="str">
        <f>"22.9"</f>
        <v>22.9</v>
      </c>
      <c r="D781" s="32">
        <f>(C781*1.24778761061)+(0.4)</f>
        <v>28.974336282968999</v>
      </c>
      <c r="E781" s="33">
        <f>(C781*1.16814159292)+(-1)</f>
        <v>25.750442477867999</v>
      </c>
      <c r="F781" s="33">
        <f>(C781*1.1238938053)+(-4.4)</f>
        <v>21.33716814137</v>
      </c>
      <c r="G781" s="33">
        <f>(C781*1.06194690265)+(-5.9)</f>
        <v>18.418584070684993</v>
      </c>
      <c r="H781" s="34">
        <f>(C781*1.19469026548)+(0)</f>
        <v>27.358407079492</v>
      </c>
      <c r="I781" s="34">
        <f>(C781*1.16814159292)+(-2)</f>
        <v>24.750442477867999</v>
      </c>
      <c r="J781" s="34">
        <f>(C781*1.1238938053)+(-3.9)</f>
        <v>21.83716814137</v>
      </c>
      <c r="K781" s="34">
        <f>(C781*1.07964601769)+(-5.6)</f>
        <v>19.123893805100998</v>
      </c>
    </row>
    <row r="782" spans="1:11" s="21" customFormat="1" ht="19.95" customHeight="1" x14ac:dyDescent="0.25">
      <c r="A782" s="13" t="str">
        <f>"74125"</f>
        <v>74125</v>
      </c>
      <c r="B782" s="14" t="s">
        <v>1129</v>
      </c>
      <c r="C782" s="13" t="str">
        <f>"23.5"</f>
        <v>23.5</v>
      </c>
      <c r="D782" s="32">
        <f>(C782*1.24778761061)+(0.4)</f>
        <v>29.723008849335002</v>
      </c>
      <c r="E782" s="33">
        <f>(C782*1.16814159292)+(-1)</f>
        <v>26.451327433620001</v>
      </c>
      <c r="F782" s="33">
        <f>(C782*1.1238938053)+(-4.4)</f>
        <v>22.011504424549997</v>
      </c>
      <c r="G782" s="33">
        <f>(C782*1.06194690265)+(-5.9)</f>
        <v>19.055752212274996</v>
      </c>
      <c r="H782" s="34">
        <f>(C782*1.19469026548)+(0)</f>
        <v>28.075221238779999</v>
      </c>
      <c r="I782" s="34">
        <f>(C782*1.16814159292)+(-2)</f>
        <v>25.451327433620001</v>
      </c>
      <c r="J782" s="34">
        <f>(C782*1.1238938053)+(-3.9)</f>
        <v>22.511504424550001</v>
      </c>
      <c r="K782" s="34">
        <f>(C782*1.07964601769)+(-5.6)</f>
        <v>19.771681415715001</v>
      </c>
    </row>
    <row r="783" spans="1:11" s="21" customFormat="1" ht="19.95" customHeight="1" x14ac:dyDescent="0.25">
      <c r="A783" s="13" t="str">
        <f>"10541"</f>
        <v>10541</v>
      </c>
      <c r="B783" s="14" t="s">
        <v>1130</v>
      </c>
      <c r="C783" s="13" t="str">
        <f>"22.0"</f>
        <v>22.0</v>
      </c>
      <c r="D783" s="32">
        <f>(C783*1.24778761061)+(0.4)</f>
        <v>27.85132743342</v>
      </c>
      <c r="E783" s="33">
        <f>(C783*1.16814159292)+(-1)</f>
        <v>24.699115044240003</v>
      </c>
      <c r="F783" s="33">
        <f>(C783*1.1238938053)+(-4.4)</f>
        <v>20.325663716599998</v>
      </c>
      <c r="G783" s="33">
        <f>(C783*1.06194690265)+(-5.9)</f>
        <v>17.4628318583</v>
      </c>
      <c r="H783" s="34">
        <f>(C783*1.19469026548)+(0)</f>
        <v>26.283185840560002</v>
      </c>
      <c r="I783" s="34">
        <f>(C783*1.16814159292)+(-2)</f>
        <v>23.699115044240003</v>
      </c>
      <c r="J783" s="34">
        <f>(C783*1.1238938053)+(-3.9)</f>
        <v>20.825663716600001</v>
      </c>
      <c r="K783" s="34">
        <f>(C783*1.07964601769)+(-5.6)</f>
        <v>18.152212389180001</v>
      </c>
    </row>
    <row r="784" spans="1:11" s="21" customFormat="1" ht="19.95" customHeight="1" x14ac:dyDescent="0.25">
      <c r="A784" s="13" t="str">
        <f>"16331"</f>
        <v>16331</v>
      </c>
      <c r="B784" s="14" t="s">
        <v>1131</v>
      </c>
      <c r="C784" s="13" t="str">
        <f>"21.3"</f>
        <v>21.3</v>
      </c>
      <c r="D784" s="32">
        <f>(C784*1.24778761061)+(0.4)</f>
        <v>26.977876105993001</v>
      </c>
      <c r="E784" s="33">
        <f>(C784*1.16814159292)+(-1)</f>
        <v>23.881415929196002</v>
      </c>
      <c r="F784" s="33">
        <f>(C784*1.1238938053)+(-4.4)</f>
        <v>19.538938052890003</v>
      </c>
      <c r="G784" s="33">
        <f>(C784*1.06194690265)+(-5.9)</f>
        <v>16.719469026444997</v>
      </c>
      <c r="H784" s="34">
        <f>(C784*1.19469026548)+(0)</f>
        <v>25.446902654724003</v>
      </c>
      <c r="I784" s="34">
        <f>(C784*1.16814159292)+(-2)</f>
        <v>22.881415929196002</v>
      </c>
      <c r="J784" s="34">
        <f>(C784*1.1238938053)+(-3.9)</f>
        <v>20.038938052890003</v>
      </c>
      <c r="K784" s="34">
        <f>(C784*1.07964601769)+(-5.6)</f>
        <v>17.396460176797</v>
      </c>
    </row>
    <row r="785" spans="1:11" s="21" customFormat="1" ht="19.95" customHeight="1" x14ac:dyDescent="0.25">
      <c r="A785" s="13" t="str">
        <f>"79531"</f>
        <v>79531</v>
      </c>
      <c r="B785" s="14" t="s">
        <v>1132</v>
      </c>
      <c r="C785" s="13" t="str">
        <f>"27.4"</f>
        <v>27.4</v>
      </c>
      <c r="D785" s="32">
        <f>(C785*1.24778761061)+(0.4)</f>
        <v>34.589380530714003</v>
      </c>
      <c r="E785" s="33">
        <f>(C785*1.16814159292)+(-1)</f>
        <v>31.007079646008002</v>
      </c>
      <c r="F785" s="33">
        <f>(C785*1.1238938053)+(-4.4)</f>
        <v>26.39469026522</v>
      </c>
      <c r="G785" s="33">
        <f>(C785*1.06194690265)+(-5.9)</f>
        <v>23.197345132609996</v>
      </c>
      <c r="H785" s="34">
        <f>(C785*1.19469026548)+(0)</f>
        <v>32.734513274152</v>
      </c>
      <c r="I785" s="34">
        <f>(C785*1.16814159292)+(-2)</f>
        <v>30.007079646008002</v>
      </c>
      <c r="J785" s="34">
        <f>(C785*1.1238938053)+(-3.9)</f>
        <v>26.89469026522</v>
      </c>
      <c r="K785" s="34">
        <f>(C785*1.07964601769)+(-5.6)</f>
        <v>23.982300884706</v>
      </c>
    </row>
    <row r="786" spans="1:11" s="21" customFormat="1" ht="19.95" customHeight="1" x14ac:dyDescent="0.25">
      <c r="A786" s="13" t="str">
        <f>"1013069"</f>
        <v>1013069</v>
      </c>
      <c r="B786" s="14" t="s">
        <v>1133</v>
      </c>
      <c r="C786" s="13" t="str">
        <f>"17.3000"</f>
        <v>17.3000</v>
      </c>
      <c r="D786" s="32">
        <f>(C786*1.24778761061)+(0.4)</f>
        <v>21.986725663553003</v>
      </c>
      <c r="E786" s="33">
        <f>(C786*1.16814159292)+(-1)</f>
        <v>19.208849557516004</v>
      </c>
      <c r="F786" s="33">
        <f>(C786*1.1238938053)+(-4.4)</f>
        <v>15.043362831690002</v>
      </c>
      <c r="G786" s="33">
        <f>(C786*1.06194690265)+(-5.9)</f>
        <v>12.471681415845</v>
      </c>
      <c r="H786" s="34">
        <f>(C786*1.19469026548)+(0)</f>
        <v>20.668141592804002</v>
      </c>
      <c r="I786" s="34">
        <f>(C786*1.16814159292)+(-2)</f>
        <v>18.208849557516004</v>
      </c>
      <c r="J786" s="34">
        <f>(C786*1.1238938053)+(-3.9)</f>
        <v>15.543362831690002</v>
      </c>
      <c r="K786" s="34">
        <f>(C786*1.07964601769)+(-5.6)</f>
        <v>13.077876106037001</v>
      </c>
    </row>
    <row r="787" spans="1:11" s="21" customFormat="1" ht="19.95" customHeight="1" x14ac:dyDescent="0.25">
      <c r="A787" s="13" t="str">
        <f>"16335"</f>
        <v>16335</v>
      </c>
      <c r="B787" s="14" t="s">
        <v>1134</v>
      </c>
      <c r="C787" s="13" t="str">
        <f>"18.1"</f>
        <v>18.1</v>
      </c>
      <c r="D787" s="32">
        <f>(C787*1.24778761061)+(0.4)</f>
        <v>22.984955752041003</v>
      </c>
      <c r="E787" s="33">
        <f>(C787*1.16814159292)+(-1)</f>
        <v>20.143362831852002</v>
      </c>
      <c r="F787" s="33">
        <f>(C787*1.1238938053)+(-4.4)</f>
        <v>15.942477875930001</v>
      </c>
      <c r="G787" s="33">
        <f>(C787*1.06194690265)+(-5.9)</f>
        <v>13.321238937965001</v>
      </c>
      <c r="H787" s="34">
        <f>(C787*1.19469026548)+(0)</f>
        <v>21.623893805188001</v>
      </c>
      <c r="I787" s="34">
        <f>(C787*1.16814159292)+(-2)</f>
        <v>19.143362831852002</v>
      </c>
      <c r="J787" s="34">
        <f>(C787*1.1238938053)+(-3.9)</f>
        <v>16.442477875930003</v>
      </c>
      <c r="K787" s="34">
        <f>(C787*1.07964601769)+(-5.6)</f>
        <v>13.941592920189001</v>
      </c>
    </row>
    <row r="788" spans="1:11" s="21" customFormat="1" ht="19.95" customHeight="1" x14ac:dyDescent="0.25">
      <c r="A788" s="13" t="str">
        <f>"023391"</f>
        <v>023391</v>
      </c>
      <c r="B788" s="14" t="s">
        <v>1135</v>
      </c>
      <c r="C788" s="13" t="str">
        <f>"25.2"</f>
        <v>25.2</v>
      </c>
      <c r="D788" s="32">
        <f>(C788*1.24778761061)+(0.4)</f>
        <v>31.844247787372002</v>
      </c>
      <c r="E788" s="33">
        <f>(C788*1.16814159292)+(-1)</f>
        <v>28.437168141584003</v>
      </c>
      <c r="F788" s="33">
        <f>(C788*1.1238938053)+(-4.4)</f>
        <v>23.922123893559998</v>
      </c>
      <c r="G788" s="33">
        <f>(C788*1.06194690265)+(-5.9)</f>
        <v>20.861061946779998</v>
      </c>
      <c r="H788" s="34">
        <f>(C788*1.19469026548)+(0)</f>
        <v>30.106194690096</v>
      </c>
      <c r="I788" s="34">
        <f>(C788*1.16814159292)+(-2)</f>
        <v>27.437168141584003</v>
      </c>
      <c r="J788" s="34">
        <f>(C788*1.1238938053)+(-3.9)</f>
        <v>24.422123893560002</v>
      </c>
      <c r="K788" s="34">
        <f>(C788*1.07964601769)+(-5.6)</f>
        <v>21.607079645787998</v>
      </c>
    </row>
    <row r="789" spans="1:11" s="21" customFormat="1" ht="19.95" customHeight="1" x14ac:dyDescent="0.25">
      <c r="A789" s="13" t="str">
        <f>"13158"</f>
        <v>13158</v>
      </c>
      <c r="B789" s="14" t="s">
        <v>1136</v>
      </c>
      <c r="C789" s="13" t="str">
        <f>"13.5"</f>
        <v>13.5</v>
      </c>
      <c r="D789" s="32">
        <f>(C789*1.24778761061)+(0.4)</f>
        <v>17.245132743235001</v>
      </c>
      <c r="E789" s="33">
        <f>(C789*1.16814159292)+(-1)</f>
        <v>14.769911504420001</v>
      </c>
      <c r="F789" s="33">
        <f>(C789*1.1238938053)+(-4.4)</f>
        <v>10.772566371550001</v>
      </c>
      <c r="G789" s="33">
        <f>(C789*1.06194690265)+(-5.9)</f>
        <v>8.4362831857749985</v>
      </c>
      <c r="H789" s="34">
        <f>(C789*1.19469026548)+(0)</f>
        <v>16.128318583980001</v>
      </c>
      <c r="I789" s="34">
        <f>(C789*1.16814159292)+(-2)</f>
        <v>13.769911504420001</v>
      </c>
      <c r="J789" s="34">
        <f>(C789*1.1238938053)+(-3.9)</f>
        <v>11.272566371550001</v>
      </c>
      <c r="K789" s="34">
        <f>(C789*1.07964601769)+(-5.6)</f>
        <v>8.975221238815001</v>
      </c>
    </row>
    <row r="790" spans="1:11" s="21" customFormat="1" ht="19.95" customHeight="1" x14ac:dyDescent="0.25">
      <c r="A790" s="13" t="str">
        <f>"16338"</f>
        <v>16338</v>
      </c>
      <c r="B790" s="14" t="s">
        <v>1137</v>
      </c>
      <c r="C790" s="13" t="str">
        <f>"24.6"</f>
        <v>24.6</v>
      </c>
      <c r="D790" s="32">
        <f>(C790*1.24778761061)+(0.4)</f>
        <v>31.095575221006001</v>
      </c>
      <c r="E790" s="33">
        <f>(C790*1.16814159292)+(-1)</f>
        <v>27.736283185832004</v>
      </c>
      <c r="F790" s="33">
        <f>(C790*1.1238938053)+(-4.4)</f>
        <v>23.247787610380001</v>
      </c>
      <c r="G790" s="33">
        <f>(C790*1.06194690265)+(-5.9)</f>
        <v>20.223893805190002</v>
      </c>
      <c r="H790" s="34">
        <f>(C790*1.19469026548)+(0)</f>
        <v>29.389380530808001</v>
      </c>
      <c r="I790" s="34">
        <f>(C790*1.16814159292)+(-2)</f>
        <v>26.736283185832004</v>
      </c>
      <c r="J790" s="34">
        <f>(C790*1.1238938053)+(-3.9)</f>
        <v>23.747787610380005</v>
      </c>
      <c r="K790" s="34">
        <f>(C790*1.07964601769)+(-5.6)</f>
        <v>20.959292035174002</v>
      </c>
    </row>
    <row r="791" spans="1:11" s="21" customFormat="1" ht="19.95" customHeight="1" x14ac:dyDescent="0.25">
      <c r="A791" s="13" t="str">
        <f>"16340"</f>
        <v>16340</v>
      </c>
      <c r="B791" s="14" t="s">
        <v>1138</v>
      </c>
      <c r="C791" s="13" t="str">
        <f>"19.1"</f>
        <v>19.1</v>
      </c>
      <c r="D791" s="32">
        <f>(C791*1.24778761061)+(0.4)</f>
        <v>24.232743362651004</v>
      </c>
      <c r="E791" s="33">
        <f>(C791*1.16814159292)+(-1)</f>
        <v>21.311504424772004</v>
      </c>
      <c r="F791" s="33">
        <f>(C791*1.1238938053)+(-4.4)</f>
        <v>17.066371681230002</v>
      </c>
      <c r="G791" s="33">
        <f>(C791*1.06194690265)+(-5.9)</f>
        <v>14.383185840615001</v>
      </c>
      <c r="H791" s="34">
        <f>(C791*1.19469026548)+(0)</f>
        <v>22.818584070668003</v>
      </c>
      <c r="I791" s="34">
        <f>(C791*1.16814159292)+(-2)</f>
        <v>20.311504424772004</v>
      </c>
      <c r="J791" s="34">
        <f>(C791*1.1238938053)+(-3.9)</f>
        <v>17.566371681230002</v>
      </c>
      <c r="K791" s="34">
        <f>(C791*1.07964601769)+(-5.6)</f>
        <v>15.021238937879003</v>
      </c>
    </row>
    <row r="792" spans="1:11" s="21" customFormat="1" ht="19.95" customHeight="1" x14ac:dyDescent="0.25">
      <c r="A792" s="13" t="str">
        <f>"66679"</f>
        <v>66679</v>
      </c>
      <c r="B792" s="14" t="s">
        <v>1139</v>
      </c>
      <c r="C792" s="13" t="str">
        <f>"10.2"</f>
        <v>10.2</v>
      </c>
      <c r="D792" s="32">
        <f>(C792*1.24778761061)+(0.4)</f>
        <v>13.127433628222001</v>
      </c>
      <c r="E792" s="33">
        <f>(C792*1.16814159292)+(-1)</f>
        <v>10.915044247784</v>
      </c>
      <c r="F792" s="33">
        <f>(C792*1.1238938053)+(-4.4)</f>
        <v>7.0637168140599993</v>
      </c>
      <c r="G792" s="33">
        <f>(C792*1.06194690265)+(-5.9)</f>
        <v>4.9318584070299973</v>
      </c>
      <c r="H792" s="34">
        <f>(C792*1.19469026548)+(0)</f>
        <v>12.185840707895998</v>
      </c>
      <c r="I792" s="34">
        <f>(C792*1.16814159292)+(-2)</f>
        <v>9.9150442477839995</v>
      </c>
      <c r="J792" s="34">
        <f>(C792*1.1238938053)+(-3.9)</f>
        <v>7.5637168140599993</v>
      </c>
      <c r="K792" s="34">
        <f>(C792*1.07964601769)+(-5.6)</f>
        <v>5.4123893804380003</v>
      </c>
    </row>
    <row r="793" spans="1:11" s="21" customFormat="1" ht="19.95" customHeight="1" x14ac:dyDescent="0.25">
      <c r="A793" s="13" t="str">
        <f>"13162"</f>
        <v>13162</v>
      </c>
      <c r="B793" s="14" t="s">
        <v>1140</v>
      </c>
      <c r="C793" s="13" t="str">
        <f>"14.9"</f>
        <v>14.9</v>
      </c>
      <c r="D793" s="32">
        <f>(C793*1.24778761061)+(0.4)</f>
        <v>18.992035398089001</v>
      </c>
      <c r="E793" s="33">
        <f>(C793*1.16814159292)+(-1)</f>
        <v>16.405309734508002</v>
      </c>
      <c r="F793" s="33">
        <f>(C793*1.1238938053)+(-4.4)</f>
        <v>12.34601769897</v>
      </c>
      <c r="G793" s="33">
        <f>(C793*1.06194690265)+(-5.9)</f>
        <v>9.9230088494849991</v>
      </c>
      <c r="H793" s="34">
        <f>(C793*1.19469026548)+(0)</f>
        <v>17.800884955652002</v>
      </c>
      <c r="I793" s="34">
        <f>(C793*1.16814159292)+(-2)</f>
        <v>15.405309734508002</v>
      </c>
      <c r="J793" s="34">
        <f>(C793*1.1238938053)+(-3.9)</f>
        <v>12.84601769897</v>
      </c>
      <c r="K793" s="34">
        <f>(C793*1.07964601769)+(-5.6)</f>
        <v>10.486725663581</v>
      </c>
    </row>
    <row r="794" spans="1:11" s="21" customFormat="1" ht="19.95" customHeight="1" x14ac:dyDescent="0.25">
      <c r="A794" s="13" t="str">
        <f>"9403"</f>
        <v>9403</v>
      </c>
      <c r="B794" s="14" t="s">
        <v>1141</v>
      </c>
      <c r="C794" s="13" t="str">
        <f>"18.8"</f>
        <v>18.8</v>
      </c>
      <c r="D794" s="32">
        <f>(C794*1.24778761061)+(0.4)</f>
        <v>23.858407079468002</v>
      </c>
      <c r="E794" s="33">
        <f>(C794*1.16814159292)+(-1)</f>
        <v>20.961061946896002</v>
      </c>
      <c r="F794" s="33">
        <f>(C794*1.1238938053)+(-4.4)</f>
        <v>16.729203539640004</v>
      </c>
      <c r="G794" s="33">
        <f>(C794*1.06194690265)+(-5.9)</f>
        <v>14.064601769819999</v>
      </c>
      <c r="H794" s="34">
        <f>(C794*1.19469026548)+(0)</f>
        <v>22.460176991023999</v>
      </c>
      <c r="I794" s="34">
        <f>(C794*1.16814159292)+(-2)</f>
        <v>19.961061946896002</v>
      </c>
      <c r="J794" s="34">
        <f>(C794*1.1238938053)+(-3.9)</f>
        <v>17.229203539640004</v>
      </c>
      <c r="K794" s="34">
        <f>(C794*1.07964601769)+(-5.6)</f>
        <v>14.697345132572002</v>
      </c>
    </row>
    <row r="795" spans="1:11" s="21" customFormat="1" ht="19.95" customHeight="1" x14ac:dyDescent="0.25">
      <c r="A795" s="13" t="str">
        <f>"16343"</f>
        <v>16343</v>
      </c>
      <c r="B795" s="14" t="s">
        <v>1142</v>
      </c>
      <c r="C795" s="13" t="str">
        <f>"11.3"</f>
        <v>11.3</v>
      </c>
      <c r="D795" s="32">
        <f>(C795*1.24778761061)+(0.4)</f>
        <v>14.499999999893003</v>
      </c>
      <c r="E795" s="33">
        <f>(C795*1.16814159292)+(-1)</f>
        <v>12.199999999996002</v>
      </c>
      <c r="F795" s="33">
        <f>(C795*1.1238938053)+(-4.4)</f>
        <v>8.2999999998900016</v>
      </c>
      <c r="G795" s="33">
        <f>(C795*1.06194690265)+(-5.9)</f>
        <v>6.0999999999450001</v>
      </c>
      <c r="H795" s="34">
        <f>(C795*1.19469026548)+(0)</f>
        <v>13.499999999924</v>
      </c>
      <c r="I795" s="34">
        <f>(C795*1.16814159292)+(-2)</f>
        <v>11.199999999996002</v>
      </c>
      <c r="J795" s="34">
        <f>(C795*1.1238938053)+(-3.9)</f>
        <v>8.7999999998900016</v>
      </c>
      <c r="K795" s="34">
        <f>(C795*1.07964601769)+(-5.6)</f>
        <v>6.5999999998970011</v>
      </c>
    </row>
    <row r="796" spans="1:11" s="21" customFormat="1" ht="19.95" customHeight="1" x14ac:dyDescent="0.25">
      <c r="A796" s="13" t="str">
        <f>"1012089"</f>
        <v>1012089</v>
      </c>
      <c r="B796" s="14" t="s">
        <v>1143</v>
      </c>
      <c r="C796" s="13" t="str">
        <f>"16.7"</f>
        <v>16.7</v>
      </c>
      <c r="D796" s="32">
        <f>(C796*1.24778761061)+(0.4)</f>
        <v>21.238053097186999</v>
      </c>
      <c r="E796" s="33">
        <f>(C796*1.16814159292)+(-1)</f>
        <v>18.507964601764002</v>
      </c>
      <c r="F796" s="33">
        <f>(C796*1.1238938053)+(-4.4)</f>
        <v>14.369026548509998</v>
      </c>
      <c r="G796" s="33">
        <f>(C796*1.06194690265)+(-5.9)</f>
        <v>11.834513274254997</v>
      </c>
      <c r="H796" s="34">
        <f>(C796*1.19469026548)+(0)</f>
        <v>19.951327433515999</v>
      </c>
      <c r="I796" s="34">
        <f>(C796*1.16814159292)+(-2)</f>
        <v>17.507964601764002</v>
      </c>
      <c r="J796" s="34">
        <f>(C796*1.1238938053)+(-3.9)</f>
        <v>14.869026548509998</v>
      </c>
      <c r="K796" s="34">
        <f>(C796*1.07964601769)+(-5.6)</f>
        <v>12.430088495422998</v>
      </c>
    </row>
    <row r="797" spans="1:11" s="21" customFormat="1" ht="19.95" customHeight="1" x14ac:dyDescent="0.25">
      <c r="A797" s="13" t="str">
        <f>"16345"</f>
        <v>16345</v>
      </c>
      <c r="B797" s="14" t="s">
        <v>1144</v>
      </c>
      <c r="C797" s="13" t="str">
        <f>"33.4"</f>
        <v>33.4</v>
      </c>
      <c r="D797" s="32">
        <f>(C797*1.24778761061)+(0.4)</f>
        <v>42.076106194373999</v>
      </c>
      <c r="E797" s="33">
        <f>(C797*1.16814159292)+(-1)</f>
        <v>38.015929203528003</v>
      </c>
      <c r="F797" s="33">
        <f>(C797*1.1238938053)+(-4.4)</f>
        <v>33.138053097019998</v>
      </c>
      <c r="G797" s="33">
        <f>(C797*1.06194690265)+(-5.9)</f>
        <v>29.569026548509996</v>
      </c>
      <c r="H797" s="34">
        <f>(C797*1.19469026548)+(0)</f>
        <v>39.902654867031998</v>
      </c>
      <c r="I797" s="34">
        <f>(C797*1.16814159292)+(-2)</f>
        <v>37.015929203528003</v>
      </c>
      <c r="J797" s="34">
        <f>(C797*1.1238938053)+(-3.9)</f>
        <v>33.638053097019998</v>
      </c>
      <c r="K797" s="34">
        <f>(C797*1.07964601769)+(-5.6)</f>
        <v>30.460176990845994</v>
      </c>
    </row>
    <row r="798" spans="1:11" s="21" customFormat="1" ht="19.95" customHeight="1" x14ac:dyDescent="0.25">
      <c r="A798" s="13" t="str">
        <f>"16346"</f>
        <v>16346</v>
      </c>
      <c r="B798" s="14" t="s">
        <v>1145</v>
      </c>
      <c r="C798" s="13" t="str">
        <f>"18.6"</f>
        <v>18.6</v>
      </c>
      <c r="D798" s="32">
        <f>(C798*1.24778761061)+(0.4)</f>
        <v>23.608849557346002</v>
      </c>
      <c r="E798" s="33">
        <f>(C798*1.16814159292)+(-1)</f>
        <v>20.727433628312003</v>
      </c>
      <c r="F798" s="33">
        <f>(C798*1.1238938053)+(-4.4)</f>
        <v>16.504424778580002</v>
      </c>
      <c r="G798" s="33">
        <f>(C798*1.06194690265)+(-5.9)</f>
        <v>13.852212389290001</v>
      </c>
      <c r="H798" s="34">
        <f>(C798*1.19469026548)+(0)</f>
        <v>22.221238937928003</v>
      </c>
      <c r="I798" s="34">
        <f>(C798*1.16814159292)+(-2)</f>
        <v>19.727433628312003</v>
      </c>
      <c r="J798" s="34">
        <f>(C798*1.1238938053)+(-3.9)</f>
        <v>17.004424778580002</v>
      </c>
      <c r="K798" s="34">
        <f>(C798*1.07964601769)+(-5.6)</f>
        <v>14.481415929034002</v>
      </c>
    </row>
    <row r="799" spans="1:11" s="21" customFormat="1" ht="19.95" customHeight="1" x14ac:dyDescent="0.25">
      <c r="A799" s="13" t="str">
        <f>"16347"</f>
        <v>16347</v>
      </c>
      <c r="B799" s="14" t="s">
        <v>1146</v>
      </c>
      <c r="C799" s="13" t="str">
        <f>"19.6"</f>
        <v>19.6</v>
      </c>
      <c r="D799" s="32">
        <f>(C799*1.24778761061)+(0.4)</f>
        <v>24.856637167956002</v>
      </c>
      <c r="E799" s="33">
        <f>(C799*1.16814159292)+(-1)</f>
        <v>21.895575221232004</v>
      </c>
      <c r="F799" s="33">
        <f>(C799*1.1238938053)+(-4.4)</f>
        <v>17.628318583880002</v>
      </c>
      <c r="G799" s="33">
        <f>(C799*1.06194690265)+(-5.9)</f>
        <v>14.914159291940001</v>
      </c>
      <c r="H799" s="34">
        <f>(C799*1.19469026548)+(0)</f>
        <v>23.415929203408002</v>
      </c>
      <c r="I799" s="34">
        <f>(C799*1.16814159292)+(-2)</f>
        <v>20.895575221232004</v>
      </c>
      <c r="J799" s="34">
        <f>(C799*1.1238938053)+(-3.9)</f>
        <v>18.128318583880002</v>
      </c>
      <c r="K799" s="34">
        <f>(C799*1.07964601769)+(-5.6)</f>
        <v>15.561061946724001</v>
      </c>
    </row>
    <row r="800" spans="1:11" s="21" customFormat="1" ht="19.95" customHeight="1" x14ac:dyDescent="0.25">
      <c r="A800" s="13" t="str">
        <f>"23303"</f>
        <v>23303</v>
      </c>
      <c r="B800" s="14" t="s">
        <v>1147</v>
      </c>
      <c r="C800" s="13" t="str">
        <f>"20.4"</f>
        <v>20.4</v>
      </c>
      <c r="D800" s="32">
        <f>(C800*1.24778761061)+(0.4)</f>
        <v>25.854867256443999</v>
      </c>
      <c r="E800" s="33">
        <f>(C800*1.16814159292)+(-1)</f>
        <v>22.830088495567999</v>
      </c>
      <c r="F800" s="33">
        <f>(C800*1.1238938053)+(-4.4)</f>
        <v>18.527433628120001</v>
      </c>
      <c r="G800" s="33">
        <f>(C800*1.06194690265)+(-5.9)</f>
        <v>15.763716814059995</v>
      </c>
      <c r="H800" s="34">
        <f>(C800*1.19469026548)+(0)</f>
        <v>24.371681415791997</v>
      </c>
      <c r="I800" s="34">
        <f>(C800*1.16814159292)+(-2)</f>
        <v>21.830088495567999</v>
      </c>
      <c r="J800" s="34">
        <f>(C800*1.1238938053)+(-3.9)</f>
        <v>19.027433628120001</v>
      </c>
      <c r="K800" s="34">
        <f>(C800*1.07964601769)+(-5.6)</f>
        <v>16.424778760876002</v>
      </c>
    </row>
    <row r="801" spans="1:11" s="21" customFormat="1" ht="19.95" customHeight="1" x14ac:dyDescent="0.25">
      <c r="A801" s="13" t="str">
        <f>"73894"</f>
        <v>73894</v>
      </c>
      <c r="B801" s="14" t="s">
        <v>1148</v>
      </c>
      <c r="C801" s="13" t="str">
        <f>"18.7"</f>
        <v>18.7</v>
      </c>
      <c r="D801" s="32">
        <f>(C801*1.24778761061)+(0.4)</f>
        <v>23.733628318407</v>
      </c>
      <c r="E801" s="33">
        <f>(C801*1.16814159292)+(-1)</f>
        <v>20.844247787604001</v>
      </c>
      <c r="F801" s="33">
        <f>(C801*1.1238938053)+(-4.4)</f>
        <v>16.61681415911</v>
      </c>
      <c r="G801" s="33">
        <f>(C801*1.06194690265)+(-5.9)</f>
        <v>13.958407079554997</v>
      </c>
      <c r="H801" s="34">
        <f>(C801*1.19469026548)+(0)</f>
        <v>22.340707964476</v>
      </c>
      <c r="I801" s="34">
        <f>(C801*1.16814159292)+(-2)</f>
        <v>19.844247787604001</v>
      </c>
      <c r="J801" s="34">
        <f>(C801*1.1238938053)+(-3.9)</f>
        <v>17.116814159110003</v>
      </c>
      <c r="K801" s="34">
        <f>(C801*1.07964601769)+(-5.6)</f>
        <v>14.589380530803</v>
      </c>
    </row>
    <row r="802" spans="1:11" s="21" customFormat="1" ht="19.95" customHeight="1" x14ac:dyDescent="0.25">
      <c r="A802" s="13" t="str">
        <f>"66380"</f>
        <v>66380</v>
      </c>
      <c r="B802" s="14" t="s">
        <v>1149</v>
      </c>
      <c r="C802" s="13" t="str">
        <f>"16.4"</f>
        <v>16.4</v>
      </c>
      <c r="D802" s="32">
        <f>(C802*1.24778761061)+(0.4)</f>
        <v>20.863716814003997</v>
      </c>
      <c r="E802" s="33">
        <f>(C802*1.16814159292)+(-1)</f>
        <v>18.157522123888</v>
      </c>
      <c r="F802" s="33">
        <f>(C802*1.1238938053)+(-4.4)</f>
        <v>14.03185840692</v>
      </c>
      <c r="G802" s="33">
        <f>(C802*1.06194690265)+(-5.9)</f>
        <v>11.515929203459995</v>
      </c>
      <c r="H802" s="34">
        <f>(C802*1.19469026548)+(0)</f>
        <v>19.592920353872</v>
      </c>
      <c r="I802" s="34">
        <f>(C802*1.16814159292)+(-2)</f>
        <v>17.157522123888</v>
      </c>
      <c r="J802" s="34">
        <f>(C802*1.1238938053)+(-3.9)</f>
        <v>14.53185840692</v>
      </c>
      <c r="K802" s="34">
        <f>(C802*1.07964601769)+(-5.6)</f>
        <v>12.106194690116</v>
      </c>
    </row>
    <row r="803" spans="1:11" s="21" customFormat="1" ht="19.95" customHeight="1" x14ac:dyDescent="0.25">
      <c r="A803" s="13" t="str">
        <f>"16349"</f>
        <v>16349</v>
      </c>
      <c r="B803" s="14" t="s">
        <v>1150</v>
      </c>
      <c r="C803" s="13" t="str">
        <f>"26.6"</f>
        <v>26.6</v>
      </c>
      <c r="D803" s="32">
        <f>(C803*1.24778761061)+(0.4)</f>
        <v>33.591150442226002</v>
      </c>
      <c r="E803" s="33">
        <f>(C803*1.16814159292)+(-1)</f>
        <v>30.072566371672004</v>
      </c>
      <c r="F803" s="33">
        <f>(C803*1.1238938053)+(-4.4)</f>
        <v>25.495575220980001</v>
      </c>
      <c r="G803" s="33">
        <f>(C803*1.06194690265)+(-5.9)</f>
        <v>22.347787610490002</v>
      </c>
      <c r="H803" s="34">
        <f>(C803*1.19469026548)+(0)</f>
        <v>31.778761061768002</v>
      </c>
      <c r="I803" s="34">
        <f>(C803*1.16814159292)+(-2)</f>
        <v>29.072566371672004</v>
      </c>
      <c r="J803" s="34">
        <f>(C803*1.1238938053)+(-3.9)</f>
        <v>25.995575220980005</v>
      </c>
      <c r="K803" s="34">
        <f>(C803*1.07964601769)+(-5.6)</f>
        <v>23.118584070554</v>
      </c>
    </row>
    <row r="804" spans="1:11" s="21" customFormat="1" ht="19.95" customHeight="1" x14ac:dyDescent="0.25">
      <c r="A804" s="13" t="str">
        <f>"16350"</f>
        <v>16350</v>
      </c>
      <c r="B804" s="14" t="s">
        <v>1151</v>
      </c>
      <c r="C804" s="13" t="str">
        <f>"26.4"</f>
        <v>26.4</v>
      </c>
      <c r="D804" s="32">
        <f>(C804*1.24778761061)+(0.4)</f>
        <v>33.341592920103999</v>
      </c>
      <c r="E804" s="33">
        <f>(C804*1.16814159292)+(-1)</f>
        <v>29.838938053088</v>
      </c>
      <c r="F804" s="33">
        <f>(C804*1.1238938053)+(-4.4)</f>
        <v>25.27079645992</v>
      </c>
      <c r="G804" s="33">
        <f>(C804*1.06194690265)+(-5.9)</f>
        <v>22.135398229959996</v>
      </c>
      <c r="H804" s="34">
        <f>(C804*1.19469026548)+(0)</f>
        <v>31.539823008671998</v>
      </c>
      <c r="I804" s="34">
        <f>(C804*1.16814159292)+(-2)</f>
        <v>28.838938053088</v>
      </c>
      <c r="J804" s="34">
        <f>(C804*1.1238938053)+(-3.9)</f>
        <v>25.77079645992</v>
      </c>
      <c r="K804" s="34">
        <f>(C804*1.07964601769)+(-5.6)</f>
        <v>22.902654867015997</v>
      </c>
    </row>
    <row r="805" spans="1:11" s="21" customFormat="1" ht="19.95" customHeight="1" x14ac:dyDescent="0.25">
      <c r="A805" s="13" t="str">
        <f>"16351"</f>
        <v>16351</v>
      </c>
      <c r="B805" s="14" t="s">
        <v>1152</v>
      </c>
      <c r="C805" s="13" t="str">
        <f>"16.5"</f>
        <v>16.5</v>
      </c>
      <c r="D805" s="32">
        <f>(C805*1.24778761061)+(0.4)</f>
        <v>20.988495575064999</v>
      </c>
      <c r="E805" s="33">
        <f>(C805*1.16814159292)+(-1)</f>
        <v>18.274336283180002</v>
      </c>
      <c r="F805" s="33">
        <f>(C805*1.1238938053)+(-4.4)</f>
        <v>14.14424778745</v>
      </c>
      <c r="G805" s="33">
        <f>(C805*1.06194690265)+(-5.9)</f>
        <v>11.622123893724998</v>
      </c>
      <c r="H805" s="34">
        <f>(C805*1.19469026548)+(0)</f>
        <v>19.712389380419999</v>
      </c>
      <c r="I805" s="34">
        <f>(C805*1.16814159292)+(-2)</f>
        <v>17.274336283180002</v>
      </c>
      <c r="J805" s="34">
        <f>(C805*1.1238938053)+(-3.9)</f>
        <v>14.64424778745</v>
      </c>
      <c r="K805" s="34">
        <f>(C805*1.07964601769)+(-5.6)</f>
        <v>12.214159291885002</v>
      </c>
    </row>
    <row r="806" spans="1:11" s="21" customFormat="1" ht="19.95" customHeight="1" x14ac:dyDescent="0.25">
      <c r="A806" s="13" t="str">
        <f>"74126"</f>
        <v>74126</v>
      </c>
      <c r="B806" s="14" t="s">
        <v>1153</v>
      </c>
      <c r="C806" s="13" t="str">
        <f>"16.5"</f>
        <v>16.5</v>
      </c>
      <c r="D806" s="32">
        <f>(C806*1.24778761061)+(0.4)</f>
        <v>20.988495575064999</v>
      </c>
      <c r="E806" s="33">
        <f>(C806*1.16814159292)+(-1)</f>
        <v>18.274336283180002</v>
      </c>
      <c r="F806" s="33">
        <f>(C806*1.1238938053)+(-4.4)</f>
        <v>14.14424778745</v>
      </c>
      <c r="G806" s="33">
        <f>(C806*1.06194690265)+(-5.9)</f>
        <v>11.622123893724998</v>
      </c>
      <c r="H806" s="34">
        <f>(C806*1.19469026548)+(0)</f>
        <v>19.712389380419999</v>
      </c>
      <c r="I806" s="34">
        <f>(C806*1.16814159292)+(-2)</f>
        <v>17.274336283180002</v>
      </c>
      <c r="J806" s="34">
        <f>(C806*1.1238938053)+(-3.9)</f>
        <v>14.64424778745</v>
      </c>
      <c r="K806" s="34">
        <f>(C806*1.07964601769)+(-5.6)</f>
        <v>12.214159291885002</v>
      </c>
    </row>
    <row r="807" spans="1:11" s="21" customFormat="1" ht="19.95" customHeight="1" x14ac:dyDescent="0.25">
      <c r="A807" s="13" t="str">
        <f>"71922"</f>
        <v>71922</v>
      </c>
      <c r="B807" s="14" t="s">
        <v>1154</v>
      </c>
      <c r="C807" s="13" t="str">
        <f>"15.9"</f>
        <v>15.9</v>
      </c>
      <c r="D807" s="32">
        <f>(C807*1.24778761061)+(0.4)</f>
        <v>20.239823008699002</v>
      </c>
      <c r="E807" s="33">
        <f>(C807*1.16814159292)+(-1)</f>
        <v>17.573451327428003</v>
      </c>
      <c r="F807" s="33">
        <f>(C807*1.1238938053)+(-4.4)</f>
        <v>13.46991150427</v>
      </c>
      <c r="G807" s="33">
        <f>(C807*1.06194690265)+(-5.9)</f>
        <v>10.984955752134999</v>
      </c>
      <c r="H807" s="34">
        <f>(C807*1.19469026548)+(0)</f>
        <v>18.995575221132</v>
      </c>
      <c r="I807" s="34">
        <f>(C807*1.16814159292)+(-2)</f>
        <v>16.573451327428003</v>
      </c>
      <c r="J807" s="34">
        <f>(C807*1.1238938053)+(-3.9)</f>
        <v>13.96991150427</v>
      </c>
      <c r="K807" s="34">
        <f>(C807*1.07964601769)+(-5.6)</f>
        <v>11.566371681271002</v>
      </c>
    </row>
    <row r="808" spans="1:11" s="21" customFormat="1" ht="19.95" customHeight="1" x14ac:dyDescent="0.25">
      <c r="A808" s="13" t="str">
        <f>"16352"</f>
        <v>16352</v>
      </c>
      <c r="B808" s="14" t="s">
        <v>1155</v>
      </c>
      <c r="C808" s="13" t="str">
        <f>"17.7"</f>
        <v>17.7</v>
      </c>
      <c r="D808" s="32">
        <f>(C808*1.24778761061)+(0.4)</f>
        <v>22.485840707796999</v>
      </c>
      <c r="E808" s="33">
        <f>(C808*1.16814159292)+(-1)</f>
        <v>19.676106194683999</v>
      </c>
      <c r="F808" s="33">
        <f>(C808*1.1238938053)+(-4.4)</f>
        <v>15.492920353809998</v>
      </c>
      <c r="G808" s="33">
        <f>(C808*1.06194690265)+(-5.9)</f>
        <v>12.896460176904997</v>
      </c>
      <c r="H808" s="34">
        <f>(C808*1.19469026548)+(0)</f>
        <v>21.146017698996001</v>
      </c>
      <c r="I808" s="34">
        <f>(C808*1.16814159292)+(-2)</f>
        <v>18.676106194683999</v>
      </c>
      <c r="J808" s="34">
        <f>(C808*1.1238938053)+(-3.9)</f>
        <v>15.992920353809998</v>
      </c>
      <c r="K808" s="34">
        <f>(C808*1.07964601769)+(-5.6)</f>
        <v>13.509734513113001</v>
      </c>
    </row>
    <row r="809" spans="1:11" s="21" customFormat="1" ht="19.95" customHeight="1" x14ac:dyDescent="0.25">
      <c r="A809" s="13" t="str">
        <f>"16357"</f>
        <v>16357</v>
      </c>
      <c r="B809" s="14" t="s">
        <v>1156</v>
      </c>
      <c r="C809" s="13" t="str">
        <f>"14.8"</f>
        <v>14.8</v>
      </c>
      <c r="D809" s="32">
        <f>(C809*1.24778761061)+(0.4)</f>
        <v>18.867256637027999</v>
      </c>
      <c r="E809" s="33">
        <f>(C809*1.16814159292)+(-1)</f>
        <v>16.288495575216</v>
      </c>
      <c r="F809" s="33">
        <f>(C809*1.1238938053)+(-4.4)</f>
        <v>12.233628318440003</v>
      </c>
      <c r="G809" s="33">
        <f>(C809*1.06194690265)+(-5.9)</f>
        <v>9.8168141592199998</v>
      </c>
      <c r="H809" s="34">
        <f>(C809*1.19469026548)+(0)</f>
        <v>17.681415929104002</v>
      </c>
      <c r="I809" s="34">
        <f>(C809*1.16814159292)+(-2)</f>
        <v>15.288495575216</v>
      </c>
      <c r="J809" s="34">
        <f>(C809*1.1238938053)+(-3.9)</f>
        <v>12.733628318440003</v>
      </c>
      <c r="K809" s="34">
        <f>(C809*1.07964601769)+(-5.6)</f>
        <v>10.378761061812002</v>
      </c>
    </row>
    <row r="810" spans="1:11" s="21" customFormat="1" ht="19.95" customHeight="1" x14ac:dyDescent="0.25">
      <c r="A810" s="13" t="str">
        <f>"9418"</f>
        <v>9418</v>
      </c>
      <c r="B810" s="14" t="s">
        <v>1157</v>
      </c>
      <c r="C810" s="13" t="str">
        <f>"19.0"</f>
        <v>19.0</v>
      </c>
      <c r="D810" s="32">
        <f>(C810*1.24778761061)+(0.4)</f>
        <v>24.107964601590002</v>
      </c>
      <c r="E810" s="33">
        <f>(C810*1.16814159292)+(-1)</f>
        <v>21.194690265480002</v>
      </c>
      <c r="F810" s="33">
        <f>(C810*1.1238938053)+(-4.4)</f>
        <v>16.953982300699998</v>
      </c>
      <c r="G810" s="33">
        <f>(C810*1.06194690265)+(-5.9)</f>
        <v>14.276991150349998</v>
      </c>
      <c r="H810" s="34">
        <f>(C810*1.19469026548)+(0)</f>
        <v>22.699115044119999</v>
      </c>
      <c r="I810" s="34">
        <f>(C810*1.16814159292)+(-2)</f>
        <v>20.194690265480002</v>
      </c>
      <c r="J810" s="34">
        <f>(C810*1.1238938053)+(-3.9)</f>
        <v>17.453982300700002</v>
      </c>
      <c r="K810" s="34">
        <f>(C810*1.07964601769)+(-5.6)</f>
        <v>14.913274336110002</v>
      </c>
    </row>
    <row r="811" spans="1:11" s="21" customFormat="1" ht="19.95" customHeight="1" x14ac:dyDescent="0.25">
      <c r="A811" s="13" t="str">
        <f>"16358"</f>
        <v>16358</v>
      </c>
      <c r="B811" s="14" t="s">
        <v>1158</v>
      </c>
      <c r="C811" s="13" t="str">
        <f>"28.4"</f>
        <v>28.4</v>
      </c>
      <c r="D811" s="32">
        <f>(C811*1.24778761061)+(0.4)</f>
        <v>35.837168141324</v>
      </c>
      <c r="E811" s="33">
        <f>(C811*1.16814159292)+(-1)</f>
        <v>32.175221238928003</v>
      </c>
      <c r="F811" s="33">
        <f>(C811*1.1238938053)+(-4.4)</f>
        <v>27.518584070519999</v>
      </c>
      <c r="G811" s="33">
        <f>(C811*1.06194690265)+(-5.9)</f>
        <v>24.259292035259996</v>
      </c>
      <c r="H811" s="34">
        <f>(C811*1.19469026548)+(0)</f>
        <v>33.929203539631999</v>
      </c>
      <c r="I811" s="34">
        <f>(C811*1.16814159292)+(-2)</f>
        <v>31.175221238928003</v>
      </c>
      <c r="J811" s="34">
        <f>(C811*1.1238938053)+(-3.9)</f>
        <v>28.018584070520003</v>
      </c>
      <c r="K811" s="34">
        <f>(C811*1.07964601769)+(-5.6)</f>
        <v>25.061946902396002</v>
      </c>
    </row>
    <row r="812" spans="1:11" s="21" customFormat="1" ht="19.95" customHeight="1" x14ac:dyDescent="0.25">
      <c r="A812" s="13" t="str">
        <f>"16363"</f>
        <v>16363</v>
      </c>
      <c r="B812" s="14" t="s">
        <v>1159</v>
      </c>
      <c r="C812" s="13" t="str">
        <f>"26.3000"</f>
        <v>26.3000</v>
      </c>
      <c r="D812" s="32">
        <f>(C812*1.24778761061)+(0.4)</f>
        <v>33.216814159043004</v>
      </c>
      <c r="E812" s="33">
        <f>(C812*1.16814159292)+(-1)</f>
        <v>29.722123893796002</v>
      </c>
      <c r="F812" s="33">
        <f>(C812*1.1238938053)+(-4.4)</f>
        <v>25.158407079390003</v>
      </c>
      <c r="G812" s="33">
        <f>(C812*1.06194690265)+(-5.9)</f>
        <v>22.029203539694997</v>
      </c>
      <c r="H812" s="34">
        <f>(C812*1.19469026548)+(0)</f>
        <v>31.420353982124002</v>
      </c>
      <c r="I812" s="34">
        <f>(C812*1.16814159292)+(-2)</f>
        <v>28.722123893796002</v>
      </c>
      <c r="J812" s="34">
        <f>(C812*1.1238938053)+(-3.9)</f>
        <v>25.658407079390003</v>
      </c>
      <c r="K812" s="34">
        <f>(C812*1.07964601769)+(-5.6)</f>
        <v>22.794690265246999</v>
      </c>
    </row>
    <row r="813" spans="1:11" s="21" customFormat="1" ht="19.95" customHeight="1" x14ac:dyDescent="0.25">
      <c r="A813" s="13" t="str">
        <f>"1001025"</f>
        <v>1001025</v>
      </c>
      <c r="B813" s="14" t="s">
        <v>1160</v>
      </c>
      <c r="C813" s="13" t="str">
        <f>"17.0"</f>
        <v>17.0</v>
      </c>
      <c r="D813" s="32">
        <f>(C813*1.24778761061)+(0.4)</f>
        <v>21.612389380370001</v>
      </c>
      <c r="E813" s="33">
        <f>(C813*1.16814159292)+(-1)</f>
        <v>18.858407079640003</v>
      </c>
      <c r="F813" s="33">
        <f>(C813*1.1238938053)+(-4.4)</f>
        <v>14.7061946901</v>
      </c>
      <c r="G813" s="33">
        <f>(C813*1.06194690265)+(-5.9)</f>
        <v>12.153097345049998</v>
      </c>
      <c r="H813" s="34">
        <f>(C813*1.19469026548)+(0)</f>
        <v>20.309734513159999</v>
      </c>
      <c r="I813" s="34">
        <f>(C813*1.16814159292)+(-2)</f>
        <v>17.858407079640003</v>
      </c>
      <c r="J813" s="34">
        <f>(C813*1.1238938053)+(-3.9)</f>
        <v>15.2061946901</v>
      </c>
      <c r="K813" s="34">
        <f>(C813*1.07964601769)+(-5.6)</f>
        <v>12.75398230073</v>
      </c>
    </row>
    <row r="814" spans="1:11" s="21" customFormat="1" ht="19.95" customHeight="1" x14ac:dyDescent="0.25">
      <c r="A814" s="13" t="str">
        <f>"71628"</f>
        <v>71628</v>
      </c>
      <c r="B814" s="14" t="s">
        <v>1161</v>
      </c>
      <c r="C814" s="13" t="str">
        <f>"13.9"</f>
        <v>13.9</v>
      </c>
      <c r="D814" s="32">
        <f>(C814*1.24778761061)+(0.4)</f>
        <v>17.744247787479001</v>
      </c>
      <c r="E814" s="33">
        <f>(C814*1.16814159292)+(-1)</f>
        <v>15.237168141588</v>
      </c>
      <c r="F814" s="33">
        <f>(C814*1.1238938053)+(-4.4)</f>
        <v>11.22212389367</v>
      </c>
      <c r="G814" s="33">
        <f>(C814*1.06194690265)+(-5.9)</f>
        <v>8.8610619468349991</v>
      </c>
      <c r="H814" s="34">
        <f>(C814*1.19469026548)+(0)</f>
        <v>16.606194690172</v>
      </c>
      <c r="I814" s="34">
        <f>(C814*1.16814159292)+(-2)</f>
        <v>14.237168141588</v>
      </c>
      <c r="J814" s="34">
        <f>(C814*1.1238938053)+(-3.9)</f>
        <v>11.72212389367</v>
      </c>
      <c r="K814" s="34">
        <f>(C814*1.07964601769)+(-5.6)</f>
        <v>9.4070796458910007</v>
      </c>
    </row>
    <row r="815" spans="1:11" s="21" customFormat="1" ht="19.95" customHeight="1" x14ac:dyDescent="0.25">
      <c r="A815" s="13" t="str">
        <f>"67484"</f>
        <v>67484</v>
      </c>
      <c r="B815" s="14" t="s">
        <v>1162</v>
      </c>
      <c r="C815" s="13" t="str">
        <f>"9.4"</f>
        <v>9.4</v>
      </c>
      <c r="D815" s="32">
        <f>(C815*1.24778761061)+(0.4)</f>
        <v>12.129203539734002</v>
      </c>
      <c r="E815" s="33">
        <f>(C815*1.16814159292)+(-1)</f>
        <v>9.9805309734480012</v>
      </c>
      <c r="F815" s="33">
        <f>(C815*1.1238938053)+(-4.4)</f>
        <v>6.1646017698200009</v>
      </c>
      <c r="G815" s="33">
        <f>(C815*1.06194690265)+(-5.9)</f>
        <v>4.0823008849099995</v>
      </c>
      <c r="H815" s="34">
        <f>(C815*1.19469026548)+(0)</f>
        <v>11.230088495512</v>
      </c>
      <c r="I815" s="34">
        <f>(C815*1.16814159292)+(-2)</f>
        <v>8.9805309734480012</v>
      </c>
      <c r="J815" s="34">
        <f>(C815*1.1238938053)+(-3.9)</f>
        <v>6.6646017698200009</v>
      </c>
      <c r="K815" s="34">
        <f>(C815*1.07964601769)+(-5.6)</f>
        <v>4.548672566286001</v>
      </c>
    </row>
    <row r="816" spans="1:11" s="21" customFormat="1" ht="19.95" customHeight="1" x14ac:dyDescent="0.25">
      <c r="A816" s="13" t="str">
        <f>"1010317"</f>
        <v>1010317</v>
      </c>
      <c r="B816" s="14" t="s">
        <v>1163</v>
      </c>
      <c r="C816" s="13" t="str">
        <f>"19.5"</f>
        <v>19.5</v>
      </c>
      <c r="D816" s="32">
        <f>(C816*1.24778761061)+(0.4)</f>
        <v>24.731858406895</v>
      </c>
      <c r="E816" s="33">
        <f>(C816*1.16814159292)+(-1)</f>
        <v>21.778761061940003</v>
      </c>
      <c r="F816" s="33">
        <f>(C816*1.1238938053)+(-4.4)</f>
        <v>17.515929203349998</v>
      </c>
      <c r="G816" s="33">
        <f>(C816*1.06194690265)+(-5.9)</f>
        <v>14.807964601674998</v>
      </c>
      <c r="H816" s="34">
        <f>(C816*1.19469026548)+(0)</f>
        <v>23.296460176860002</v>
      </c>
      <c r="I816" s="34">
        <f>(C816*1.16814159292)+(-2)</f>
        <v>20.778761061940003</v>
      </c>
      <c r="J816" s="34">
        <f>(C816*1.1238938053)+(-3.9)</f>
        <v>18.015929203350002</v>
      </c>
      <c r="K816" s="34">
        <f>(C816*1.07964601769)+(-5.6)</f>
        <v>15.453097344954999</v>
      </c>
    </row>
    <row r="817" spans="1:11" s="21" customFormat="1" ht="19.95" customHeight="1" x14ac:dyDescent="0.25">
      <c r="A817" s="13" t="str">
        <f>"39756"</f>
        <v>39756</v>
      </c>
      <c r="B817" s="14" t="s">
        <v>1164</v>
      </c>
      <c r="C817" s="13" t="str">
        <f>"17.0"</f>
        <v>17.0</v>
      </c>
      <c r="D817" s="32">
        <f>(C817*1.24778761061)+(0.4)</f>
        <v>21.612389380370001</v>
      </c>
      <c r="E817" s="33">
        <f>(C817*1.16814159292)+(-1)</f>
        <v>18.858407079640003</v>
      </c>
      <c r="F817" s="33">
        <f>(C817*1.1238938053)+(-4.4)</f>
        <v>14.7061946901</v>
      </c>
      <c r="G817" s="33">
        <f>(C817*1.06194690265)+(-5.9)</f>
        <v>12.153097345049998</v>
      </c>
      <c r="H817" s="34">
        <f>(C817*1.19469026548)+(0)</f>
        <v>20.309734513159999</v>
      </c>
      <c r="I817" s="34">
        <f>(C817*1.16814159292)+(-2)</f>
        <v>17.858407079640003</v>
      </c>
      <c r="J817" s="34">
        <f>(C817*1.1238938053)+(-3.9)</f>
        <v>15.2061946901</v>
      </c>
      <c r="K817" s="34">
        <f>(C817*1.07964601769)+(-5.6)</f>
        <v>12.75398230073</v>
      </c>
    </row>
    <row r="818" spans="1:11" s="21" customFormat="1" ht="19.95" customHeight="1" x14ac:dyDescent="0.25">
      <c r="A818" s="13" t="str">
        <f>"68715"</f>
        <v>68715</v>
      </c>
      <c r="B818" s="14" t="s">
        <v>1165</v>
      </c>
      <c r="C818" s="13" t="str">
        <f>"23.4"</f>
        <v>23.4</v>
      </c>
      <c r="D818" s="32">
        <f>(C818*1.24778761061)+(0.4)</f>
        <v>29.598230088274001</v>
      </c>
      <c r="E818" s="33">
        <f>(C818*1.16814159292)+(-1)</f>
        <v>26.334513274328</v>
      </c>
      <c r="F818" s="33">
        <f>(C818*1.1238938053)+(-4.4)</f>
        <v>21.89911504402</v>
      </c>
      <c r="G818" s="33">
        <f>(C818*1.06194690265)+(-5.9)</f>
        <v>18.949557522009997</v>
      </c>
      <c r="H818" s="34">
        <f>(C818*1.19469026548)+(0)</f>
        <v>27.955752212231999</v>
      </c>
      <c r="I818" s="34">
        <f>(C818*1.16814159292)+(-2)</f>
        <v>25.334513274328</v>
      </c>
      <c r="J818" s="34">
        <f>(C818*1.1238938053)+(-3.9)</f>
        <v>22.39911504402</v>
      </c>
      <c r="K818" s="34">
        <f>(C818*1.07964601769)+(-5.6)</f>
        <v>19.663716813945996</v>
      </c>
    </row>
    <row r="819" spans="1:11" s="21" customFormat="1" ht="19.95" customHeight="1" x14ac:dyDescent="0.25">
      <c r="A819" s="13" t="str">
        <f>"42475"</f>
        <v>42475</v>
      </c>
      <c r="B819" s="14" t="s">
        <v>1166</v>
      </c>
      <c r="C819" s="13" t="str">
        <f>"12.4"</f>
        <v>12.4</v>
      </c>
      <c r="D819" s="32">
        <f>(C819*1.24778761061)+(0.4)</f>
        <v>15.872566371564002</v>
      </c>
      <c r="E819" s="33">
        <f>(C819*1.16814159292)+(-1)</f>
        <v>13.484955752208002</v>
      </c>
      <c r="F819" s="33">
        <f>(C819*1.1238938053)+(-4.4)</f>
        <v>9.5362831857200003</v>
      </c>
      <c r="G819" s="33">
        <f>(C819*1.06194690265)+(-5.9)</f>
        <v>7.2681415928599993</v>
      </c>
      <c r="H819" s="34">
        <f>(C819*1.19469026548)+(0)</f>
        <v>14.814159291952</v>
      </c>
      <c r="I819" s="34">
        <f>(C819*1.16814159292)+(-2)</f>
        <v>12.484955752208002</v>
      </c>
      <c r="J819" s="34">
        <f>(C819*1.1238938053)+(-3.9)</f>
        <v>10.03628318572</v>
      </c>
      <c r="K819" s="34">
        <f>(C819*1.07964601769)+(-5.6)</f>
        <v>7.7876106193560002</v>
      </c>
    </row>
    <row r="820" spans="1:11" s="21" customFormat="1" ht="19.95" customHeight="1" x14ac:dyDescent="0.25">
      <c r="A820" s="13" t="str">
        <f>"1007122"</f>
        <v>1007122</v>
      </c>
      <c r="B820" s="14" t="s">
        <v>1167</v>
      </c>
      <c r="C820" s="13" t="str">
        <f>"19.7"</f>
        <v>19.7</v>
      </c>
      <c r="D820" s="32">
        <f>(C820*1.24778761061)+(0.4)</f>
        <v>24.981415929017</v>
      </c>
      <c r="E820" s="33">
        <f>(C820*1.16814159292)+(-1)</f>
        <v>22.012389380524002</v>
      </c>
      <c r="F820" s="33">
        <f>(C820*1.1238938053)+(-4.4)</f>
        <v>17.740707964409999</v>
      </c>
      <c r="G820" s="33">
        <f>(C820*1.06194690265)+(-5.9)</f>
        <v>15.020353982204997</v>
      </c>
      <c r="H820" s="34">
        <f>(C820*1.19469026548)+(0)</f>
        <v>23.535398229955998</v>
      </c>
      <c r="I820" s="34">
        <f>(C820*1.16814159292)+(-2)</f>
        <v>21.012389380524002</v>
      </c>
      <c r="J820" s="34">
        <f>(C820*1.1238938053)+(-3.9)</f>
        <v>18.240707964410003</v>
      </c>
      <c r="K820" s="34">
        <f>(C820*1.07964601769)+(-5.6)</f>
        <v>15.669026548492999</v>
      </c>
    </row>
    <row r="821" spans="1:11" s="21" customFormat="1" ht="19.95" customHeight="1" x14ac:dyDescent="0.25">
      <c r="A821" s="13" t="str">
        <f>"75522"</f>
        <v>75522</v>
      </c>
      <c r="B821" s="14" t="s">
        <v>1168</v>
      </c>
      <c r="C821" s="13" t="str">
        <f>"18.5"</f>
        <v>18.5</v>
      </c>
      <c r="D821" s="32">
        <f>(C821*1.24778761061)+(0.4)</f>
        <v>23.484070796285</v>
      </c>
      <c r="E821" s="33">
        <f>(C821*1.16814159292)+(-1)</f>
        <v>20.610619469020001</v>
      </c>
      <c r="F821" s="33">
        <f>(C821*1.1238938053)+(-4.4)</f>
        <v>16.392035398049998</v>
      </c>
      <c r="G821" s="33">
        <f>(C821*1.06194690265)+(-5.9)</f>
        <v>13.746017699024998</v>
      </c>
      <c r="H821" s="34">
        <f>(C821*1.19469026548)+(0)</f>
        <v>22.10176991138</v>
      </c>
      <c r="I821" s="34">
        <f>(C821*1.16814159292)+(-2)</f>
        <v>19.610619469020001</v>
      </c>
      <c r="J821" s="34">
        <f>(C821*1.1238938053)+(-3.9)</f>
        <v>16.892035398050002</v>
      </c>
      <c r="K821" s="34">
        <f>(C821*1.07964601769)+(-5.6)</f>
        <v>14.373451327265</v>
      </c>
    </row>
    <row r="822" spans="1:11" s="21" customFormat="1" ht="19.95" customHeight="1" x14ac:dyDescent="0.25">
      <c r="A822" s="13" t="str">
        <f>"16370"</f>
        <v>16370</v>
      </c>
      <c r="B822" s="14" t="s">
        <v>1169</v>
      </c>
      <c r="C822" s="13" t="str">
        <f>"19.5"</f>
        <v>19.5</v>
      </c>
      <c r="D822" s="32">
        <f>(C822*1.24778761061)+(0.4)</f>
        <v>24.731858406895</v>
      </c>
      <c r="E822" s="33">
        <f>(C822*1.16814159292)+(-1)</f>
        <v>21.778761061940003</v>
      </c>
      <c r="F822" s="33">
        <f>(C822*1.1238938053)+(-4.4)</f>
        <v>17.515929203349998</v>
      </c>
      <c r="G822" s="33">
        <f>(C822*1.06194690265)+(-5.9)</f>
        <v>14.807964601674998</v>
      </c>
      <c r="H822" s="34">
        <f>(C822*1.19469026548)+(0)</f>
        <v>23.296460176860002</v>
      </c>
      <c r="I822" s="34">
        <f>(C822*1.16814159292)+(-2)</f>
        <v>20.778761061940003</v>
      </c>
      <c r="J822" s="34">
        <f>(C822*1.1238938053)+(-3.9)</f>
        <v>18.015929203350002</v>
      </c>
      <c r="K822" s="34">
        <f>(C822*1.07964601769)+(-5.6)</f>
        <v>15.453097344954999</v>
      </c>
    </row>
    <row r="823" spans="1:11" s="21" customFormat="1" ht="19.95" customHeight="1" x14ac:dyDescent="0.25">
      <c r="A823" s="13" t="str">
        <f>"76821"</f>
        <v>76821</v>
      </c>
      <c r="B823" s="14" t="s">
        <v>1170</v>
      </c>
      <c r="C823" s="13" t="str">
        <f>"15.8"</f>
        <v>15.8</v>
      </c>
      <c r="D823" s="32">
        <f>(C823*1.24778761061)+(0.4)</f>
        <v>20.115044247638</v>
      </c>
      <c r="E823" s="33">
        <f>(C823*1.16814159292)+(-1)</f>
        <v>17.456637168136002</v>
      </c>
      <c r="F823" s="33">
        <f>(C823*1.1238938053)+(-4.4)</f>
        <v>13.357522123740003</v>
      </c>
      <c r="G823" s="33">
        <f>(C823*1.06194690265)+(-5.9)</f>
        <v>10.87876106187</v>
      </c>
      <c r="H823" s="34">
        <f>(C823*1.19469026548)+(0)</f>
        <v>18.876106194584001</v>
      </c>
      <c r="I823" s="34">
        <f>(C823*1.16814159292)+(-2)</f>
        <v>16.456637168136002</v>
      </c>
      <c r="J823" s="34">
        <f>(C823*1.1238938053)+(-3.9)</f>
        <v>13.857522123740003</v>
      </c>
      <c r="K823" s="34">
        <f>(C823*1.07964601769)+(-5.6)</f>
        <v>11.458407079502001</v>
      </c>
    </row>
    <row r="824" spans="1:11" s="21" customFormat="1" ht="19.95" customHeight="1" x14ac:dyDescent="0.25">
      <c r="A824" s="13" t="str">
        <f>"71226"</f>
        <v>71226</v>
      </c>
      <c r="B824" s="14" t="s">
        <v>1171</v>
      </c>
      <c r="C824" s="13" t="str">
        <f>"25.9"</f>
        <v>25.9</v>
      </c>
      <c r="D824" s="32">
        <f>(C824*1.24778761061)+(0.4)</f>
        <v>32.717699114798997</v>
      </c>
      <c r="E824" s="33">
        <f>(C824*1.16814159292)+(-1)</f>
        <v>29.254867256628</v>
      </c>
      <c r="F824" s="33">
        <f>(C824*1.1238938053)+(-4.4)</f>
        <v>24.70884955727</v>
      </c>
      <c r="G824" s="33">
        <f>(C824*1.06194690265)+(-5.9)</f>
        <v>21.604424778634993</v>
      </c>
      <c r="H824" s="34">
        <f>(C824*1.19469026548)+(0)</f>
        <v>30.942477875931999</v>
      </c>
      <c r="I824" s="34">
        <f>(C824*1.16814159292)+(-2)</f>
        <v>28.254867256628</v>
      </c>
      <c r="J824" s="34">
        <f>(C824*1.1238938053)+(-3.9)</f>
        <v>25.20884955727</v>
      </c>
      <c r="K824" s="34">
        <f>(C824*1.07964601769)+(-5.6)</f>
        <v>22.362831858170999</v>
      </c>
    </row>
    <row r="825" spans="1:11" s="21" customFormat="1" ht="19.95" customHeight="1" x14ac:dyDescent="0.25">
      <c r="A825" s="13" t="str">
        <f>"16374"</f>
        <v>16374</v>
      </c>
      <c r="B825" s="14" t="s">
        <v>1172</v>
      </c>
      <c r="C825" s="13" t="str">
        <f>"24.6"</f>
        <v>24.6</v>
      </c>
      <c r="D825" s="32">
        <f>(C825*1.24778761061)+(0.4)</f>
        <v>31.095575221006001</v>
      </c>
      <c r="E825" s="33">
        <f>(C825*1.16814159292)+(-1)</f>
        <v>27.736283185832004</v>
      </c>
      <c r="F825" s="33">
        <f>(C825*1.1238938053)+(-4.4)</f>
        <v>23.247787610380001</v>
      </c>
      <c r="G825" s="33">
        <f>(C825*1.06194690265)+(-5.9)</f>
        <v>20.223893805190002</v>
      </c>
      <c r="H825" s="34">
        <f>(C825*1.19469026548)+(0)</f>
        <v>29.389380530808001</v>
      </c>
      <c r="I825" s="34">
        <f>(C825*1.16814159292)+(-2)</f>
        <v>26.736283185832004</v>
      </c>
      <c r="J825" s="34">
        <f>(C825*1.1238938053)+(-3.9)</f>
        <v>23.747787610380005</v>
      </c>
      <c r="K825" s="34">
        <f>(C825*1.07964601769)+(-5.6)</f>
        <v>20.959292035174002</v>
      </c>
    </row>
    <row r="826" spans="1:11" s="21" customFormat="1" ht="19.95" customHeight="1" x14ac:dyDescent="0.25">
      <c r="A826" s="13" t="str">
        <f>"16376"</f>
        <v>16376</v>
      </c>
      <c r="B826" s="14" t="s">
        <v>1173</v>
      </c>
      <c r="C826" s="13" t="str">
        <f>"20.1"</f>
        <v>20.1</v>
      </c>
      <c r="D826" s="32">
        <f>(C826*1.24778761061)+(0.4)</f>
        <v>25.480530973261001</v>
      </c>
      <c r="E826" s="33">
        <f>(C826*1.16814159292)+(-1)</f>
        <v>22.479646017692005</v>
      </c>
      <c r="F826" s="33">
        <f>(C826*1.1238938053)+(-4.4)</f>
        <v>18.190265486530002</v>
      </c>
      <c r="G826" s="33">
        <f>(C826*1.06194690265)+(-5.9)</f>
        <v>15.445132743265001</v>
      </c>
      <c r="H826" s="34">
        <f>(C826*1.19469026548)+(0)</f>
        <v>24.013274336148001</v>
      </c>
      <c r="I826" s="34">
        <f>(C826*1.16814159292)+(-2)</f>
        <v>21.479646017692005</v>
      </c>
      <c r="J826" s="34">
        <f>(C826*1.1238938053)+(-3.9)</f>
        <v>18.690265486530006</v>
      </c>
      <c r="K826" s="34">
        <f>(C826*1.07964601769)+(-5.6)</f>
        <v>16.100884955569001</v>
      </c>
    </row>
    <row r="827" spans="1:11" s="21" customFormat="1" ht="19.95" customHeight="1" x14ac:dyDescent="0.25">
      <c r="A827" s="13" t="str">
        <f>"69354"</f>
        <v>69354</v>
      </c>
      <c r="B827" s="14" t="s">
        <v>1174</v>
      </c>
      <c r="C827" s="13" t="str">
        <f>"7.6"</f>
        <v>7.6</v>
      </c>
      <c r="D827" s="32">
        <f>(C827*1.24778761061)+(0.4)</f>
        <v>9.8831858406360009</v>
      </c>
      <c r="E827" s="33">
        <f>(C827*1.16814159292)+(-1)</f>
        <v>7.8778761061919997</v>
      </c>
      <c r="F827" s="33">
        <f>(C827*1.1238938053)+(-4.4)</f>
        <v>4.141592920279999</v>
      </c>
      <c r="G827" s="33">
        <f>(C827*1.06194690265)+(-5.9)</f>
        <v>2.1707964601399983</v>
      </c>
      <c r="H827" s="34">
        <f>(C827*1.19469026548)+(0)</f>
        <v>9.0796460176479989</v>
      </c>
      <c r="I827" s="34">
        <f>(C827*1.16814159292)+(-2)</f>
        <v>6.8778761061919997</v>
      </c>
      <c r="J827" s="34">
        <f>(C827*1.1238938053)+(-3.9)</f>
        <v>4.641592920279999</v>
      </c>
      <c r="K827" s="34">
        <f>(C827*1.07964601769)+(-5.6)</f>
        <v>2.6053097344440008</v>
      </c>
    </row>
    <row r="828" spans="1:11" s="21" customFormat="1" ht="19.95" customHeight="1" x14ac:dyDescent="0.25">
      <c r="A828" s="13" t="str">
        <f>"35701"</f>
        <v>35701</v>
      </c>
      <c r="B828" s="14" t="s">
        <v>1175</v>
      </c>
      <c r="C828" s="13" t="str">
        <f>"12.6"</f>
        <v>12.6</v>
      </c>
      <c r="D828" s="32">
        <f>(C828*1.24778761061)+(0.4)</f>
        <v>16.122123893686002</v>
      </c>
      <c r="E828" s="33">
        <f>(C828*1.16814159292)+(-1)</f>
        <v>13.718584070792001</v>
      </c>
      <c r="F828" s="33">
        <f>(C828*1.1238938053)+(-4.4)</f>
        <v>9.7610619467799999</v>
      </c>
      <c r="G828" s="33">
        <f>(C828*1.06194690265)+(-5.9)</f>
        <v>7.4805309733899978</v>
      </c>
      <c r="H828" s="34">
        <f>(C828*1.19469026548)+(0)</f>
        <v>15.053097345048</v>
      </c>
      <c r="I828" s="34">
        <f>(C828*1.16814159292)+(-2)</f>
        <v>12.718584070792001</v>
      </c>
      <c r="J828" s="34">
        <f>(C828*1.1238938053)+(-3.9)</f>
        <v>10.26106194678</v>
      </c>
      <c r="K828" s="34">
        <f>(C828*1.07964601769)+(-5.6)</f>
        <v>8.003539822894</v>
      </c>
    </row>
    <row r="829" spans="1:11" s="21" customFormat="1" ht="19.95" customHeight="1" x14ac:dyDescent="0.25">
      <c r="A829" s="13" t="str">
        <f>"1016933"</f>
        <v>1016933</v>
      </c>
      <c r="B829" s="14" t="s">
        <v>1176</v>
      </c>
      <c r="C829" s="13" t="str">
        <f>"27.2"</f>
        <v>27.2</v>
      </c>
      <c r="D829" s="32">
        <f>(C829*1.24778761061)+(0.4)</f>
        <v>34.339823008591999</v>
      </c>
      <c r="E829" s="33">
        <f>(C829*1.16814159292)+(-1)</f>
        <v>30.773451327424002</v>
      </c>
      <c r="F829" s="33">
        <f>(C829*1.1238938053)+(-4.4)</f>
        <v>26.169911504159998</v>
      </c>
      <c r="G829" s="33">
        <f>(C829*1.06194690265)+(-5.9)</f>
        <v>22.984955752079998</v>
      </c>
      <c r="H829" s="34">
        <f>(C829*1.19469026548)+(0)</f>
        <v>32.495575221056001</v>
      </c>
      <c r="I829" s="34">
        <f>(C829*1.16814159292)+(-2)</f>
        <v>29.773451327424002</v>
      </c>
      <c r="J829" s="34">
        <f>(C829*1.1238938053)+(-3.9)</f>
        <v>26.669911504160002</v>
      </c>
      <c r="K829" s="34">
        <f>(C829*1.07964601769)+(-5.6)</f>
        <v>23.766371681168003</v>
      </c>
    </row>
    <row r="830" spans="1:11" s="21" customFormat="1" ht="19.95" customHeight="1" x14ac:dyDescent="0.25">
      <c r="A830" s="13" t="str">
        <f>"1000191"</f>
        <v>1000191</v>
      </c>
      <c r="B830" s="14" t="s">
        <v>1177</v>
      </c>
      <c r="C830" s="13" t="str">
        <f>"29.1"</f>
        <v>29.1</v>
      </c>
      <c r="D830" s="32">
        <f>(C830*1.24778761061)+(0.4)</f>
        <v>36.710619468751005</v>
      </c>
      <c r="E830" s="33">
        <f>(C830*1.16814159292)+(-1)</f>
        <v>32.992920353972004</v>
      </c>
      <c r="F830" s="33">
        <f>(C830*1.1238938053)+(-4.4)</f>
        <v>28.305309734230008</v>
      </c>
      <c r="G830" s="33">
        <f>(C830*1.06194690265)+(-5.9)</f>
        <v>25.002654867114998</v>
      </c>
      <c r="H830" s="34">
        <f>(C830*1.19469026548)+(0)</f>
        <v>34.765486725468001</v>
      </c>
      <c r="I830" s="34">
        <f>(C830*1.16814159292)+(-2)</f>
        <v>31.992920353972004</v>
      </c>
      <c r="J830" s="34">
        <f>(C830*1.1238938053)+(-3.9)</f>
        <v>28.805309734230008</v>
      </c>
      <c r="K830" s="34">
        <f>(C830*1.07964601769)+(-5.6)</f>
        <v>25.817699114779003</v>
      </c>
    </row>
    <row r="831" spans="1:11" s="21" customFormat="1" ht="19.95" customHeight="1" x14ac:dyDescent="0.25">
      <c r="A831" s="13" t="str">
        <f>"1004450"</f>
        <v>1004450</v>
      </c>
      <c r="B831" s="14" t="s">
        <v>1178</v>
      </c>
      <c r="C831" s="13" t="str">
        <f>"22.4"</f>
        <v>22.4</v>
      </c>
      <c r="D831" s="32">
        <f>(C831*1.24778761061)+(0.4)</f>
        <v>28.350442477664</v>
      </c>
      <c r="E831" s="33">
        <f>(C831*1.16814159292)+(-1)</f>
        <v>25.166371681408002</v>
      </c>
      <c r="F831" s="33">
        <f>(C831*1.1238938053)+(-4.4)</f>
        <v>20.77522123872</v>
      </c>
      <c r="G831" s="33">
        <f>(C831*1.06194690265)+(-5.9)</f>
        <v>17.887610619359997</v>
      </c>
      <c r="H831" s="34">
        <f>(C831*1.19469026548)+(0)</f>
        <v>26.761061946751997</v>
      </c>
      <c r="I831" s="34">
        <f>(C831*1.16814159292)+(-2)</f>
        <v>24.166371681408002</v>
      </c>
      <c r="J831" s="34">
        <f>(C831*1.1238938053)+(-3.9)</f>
        <v>21.27522123872</v>
      </c>
      <c r="K831" s="34">
        <f>(C831*1.07964601769)+(-5.6)</f>
        <v>18.584070796256</v>
      </c>
    </row>
    <row r="832" spans="1:11" s="21" customFormat="1" ht="19.95" customHeight="1" x14ac:dyDescent="0.25">
      <c r="A832" s="13" t="str">
        <f>"16443"</f>
        <v>16443</v>
      </c>
      <c r="B832" s="14" t="s">
        <v>1179</v>
      </c>
      <c r="C832" s="13" t="str">
        <f>"25.4"</f>
        <v>25.4</v>
      </c>
      <c r="D832" s="32">
        <f>(C832*1.24778761061)+(0.4)</f>
        <v>32.093805309494002</v>
      </c>
      <c r="E832" s="33">
        <f>(C832*1.16814159292)+(-1)</f>
        <v>28.670796460167999</v>
      </c>
      <c r="F832" s="33">
        <f>(C832*1.1238938053)+(-4.4)</f>
        <v>24.14690265462</v>
      </c>
      <c r="G832" s="33">
        <f>(C832*1.06194690265)+(-5.9)</f>
        <v>21.073451327309996</v>
      </c>
      <c r="H832" s="34">
        <f>(C832*1.19469026548)+(0)</f>
        <v>30.345132743192</v>
      </c>
      <c r="I832" s="34">
        <f>(C832*1.16814159292)+(-2)</f>
        <v>27.670796460167999</v>
      </c>
      <c r="J832" s="34">
        <f>(C832*1.1238938053)+(-3.9)</f>
        <v>24.64690265462</v>
      </c>
      <c r="K832" s="34">
        <f>(C832*1.07964601769)+(-5.6)</f>
        <v>21.823008849326001</v>
      </c>
    </row>
    <row r="833" spans="1:11" s="21" customFormat="1" ht="19.95" customHeight="1" x14ac:dyDescent="0.25">
      <c r="A833" s="13" t="str">
        <f>"65908"</f>
        <v>65908</v>
      </c>
      <c r="B833" s="14" t="s">
        <v>1180</v>
      </c>
      <c r="C833" s="13" t="str">
        <f>"11.6"</f>
        <v>11.6</v>
      </c>
      <c r="D833" s="32">
        <f>(C833*1.24778761061)+(0.4)</f>
        <v>14.874336283076001</v>
      </c>
      <c r="E833" s="33">
        <f>(C833*1.16814159292)+(-1)</f>
        <v>12.550442477872</v>
      </c>
      <c r="F833" s="33">
        <f>(C833*1.1238938053)+(-4.4)</f>
        <v>8.6371681414800001</v>
      </c>
      <c r="G833" s="33">
        <f>(C833*1.06194690265)+(-5.9)</f>
        <v>6.4185840707399979</v>
      </c>
      <c r="H833" s="34">
        <f>(C833*1.19469026548)+(0)</f>
        <v>13.858407079568</v>
      </c>
      <c r="I833" s="34">
        <f>(C833*1.16814159292)+(-2)</f>
        <v>11.550442477872</v>
      </c>
      <c r="J833" s="34">
        <f>(C833*1.1238938053)+(-3.9)</f>
        <v>9.1371681414800001</v>
      </c>
      <c r="K833" s="34">
        <f>(C833*1.07964601769)+(-5.6)</f>
        <v>6.9238938052040009</v>
      </c>
    </row>
    <row r="834" spans="1:11" s="21" customFormat="1" ht="19.95" customHeight="1" x14ac:dyDescent="0.25">
      <c r="A834" s="13" t="str">
        <f>"1000929"</f>
        <v>1000929</v>
      </c>
      <c r="B834" s="14" t="s">
        <v>1181</v>
      </c>
      <c r="C834" s="13" t="str">
        <f>"38.3"</f>
        <v>38.3</v>
      </c>
      <c r="D834" s="32">
        <f>(C834*1.24778761061)+(0.4)</f>
        <v>48.190265486362996</v>
      </c>
      <c r="E834" s="33">
        <f>(C834*1.16814159292)+(-1)</f>
        <v>43.739823008835998</v>
      </c>
      <c r="F834" s="33">
        <f>(C834*1.1238938053)+(-4.4)</f>
        <v>38.64513274299</v>
      </c>
      <c r="G834" s="33">
        <f>(C834*1.06194690265)+(-5.9)</f>
        <v>34.772566371494996</v>
      </c>
      <c r="H834" s="34">
        <f>(C834*1.19469026548)+(0)</f>
        <v>45.756637167883994</v>
      </c>
      <c r="I834" s="34">
        <f>(C834*1.16814159292)+(-2)</f>
        <v>42.739823008835998</v>
      </c>
      <c r="J834" s="34">
        <f>(C834*1.1238938053)+(-3.9)</f>
        <v>39.14513274299</v>
      </c>
      <c r="K834" s="34">
        <f>(C834*1.07964601769)+(-5.6)</f>
        <v>35.750442477526995</v>
      </c>
    </row>
    <row r="835" spans="1:11" s="21" customFormat="1" ht="19.95" customHeight="1" x14ac:dyDescent="0.25">
      <c r="A835" s="13" t="str">
        <f>"50412"</f>
        <v>50412</v>
      </c>
      <c r="B835" s="14" t="s">
        <v>1182</v>
      </c>
      <c r="C835" s="13" t="str">
        <f>"6.3"</f>
        <v>6.3</v>
      </c>
      <c r="D835" s="32">
        <f>(C835*1.24778761061)+(0.4)</f>
        <v>8.2610619468430002</v>
      </c>
      <c r="E835" s="33">
        <f>(C835*1.16814159292)+(-1)</f>
        <v>6.3592920353960007</v>
      </c>
      <c r="F835" s="33">
        <f>(C835*1.1238938053)+(-4.4)</f>
        <v>2.6805309733899998</v>
      </c>
      <c r="G835" s="33">
        <f>(C835*1.06194690265)+(-5.9)</f>
        <v>0.79026548669499874</v>
      </c>
      <c r="H835" s="34">
        <f>(C835*1.19469026548)+(0)</f>
        <v>7.5265486725240001</v>
      </c>
      <c r="I835" s="34">
        <f>(C835*1.16814159292)+(-2)</f>
        <v>5.3592920353960007</v>
      </c>
      <c r="J835" s="34">
        <f>(C835*1.1238938053)+(-3.9)</f>
        <v>3.1805309733900002</v>
      </c>
      <c r="K835" s="34">
        <f>(C835*1.07964601769)+(-5.6)</f>
        <v>1.2017699114470002</v>
      </c>
    </row>
    <row r="836" spans="1:11" s="21" customFormat="1" ht="19.95" customHeight="1" x14ac:dyDescent="0.25">
      <c r="A836" s="13" t="str">
        <f>"23331"</f>
        <v>23331</v>
      </c>
      <c r="B836" s="14" t="s">
        <v>1183</v>
      </c>
      <c r="C836" s="13" t="str">
        <f>"20.0"</f>
        <v>20.0</v>
      </c>
      <c r="D836" s="32">
        <f>(C836*1.24778761061)+(0.4)</f>
        <v>25.355752212200002</v>
      </c>
      <c r="E836" s="33">
        <f>(C836*1.16814159292)+(-1)</f>
        <v>22.3628318584</v>
      </c>
      <c r="F836" s="33">
        <f>(C836*1.1238938053)+(-4.4)</f>
        <v>18.077876105999998</v>
      </c>
      <c r="G836" s="33">
        <f>(C836*1.06194690265)+(-5.9)</f>
        <v>15.338938052999998</v>
      </c>
      <c r="H836" s="34">
        <f>(C836*1.19469026548)+(0)</f>
        <v>23.893805309600001</v>
      </c>
      <c r="I836" s="34">
        <f>(C836*1.16814159292)+(-2)</f>
        <v>21.3628318584</v>
      </c>
      <c r="J836" s="34">
        <f>(C836*1.1238938053)+(-3.9)</f>
        <v>18.577876106000001</v>
      </c>
      <c r="K836" s="34">
        <f>(C836*1.07964601769)+(-5.6)</f>
        <v>15.992920353800001</v>
      </c>
    </row>
    <row r="837" spans="1:11" s="21" customFormat="1" ht="19.95" customHeight="1" x14ac:dyDescent="0.25">
      <c r="A837" s="13" t="str">
        <f>"21189"</f>
        <v>21189</v>
      </c>
      <c r="B837" s="14" t="s">
        <v>1184</v>
      </c>
      <c r="C837" s="13" t="str">
        <f>"12.0"</f>
        <v>12.0</v>
      </c>
      <c r="D837" s="32">
        <f>(C837*1.24778761061)+(0.4)</f>
        <v>15.373451327320002</v>
      </c>
      <c r="E837" s="33">
        <f>(C837*1.16814159292)+(-1)</f>
        <v>13.017699115040001</v>
      </c>
      <c r="F837" s="33">
        <f>(C837*1.1238938053)+(-4.4)</f>
        <v>9.0867256636000011</v>
      </c>
      <c r="G837" s="33">
        <f>(C837*1.06194690265)+(-5.9)</f>
        <v>6.8433628317999986</v>
      </c>
      <c r="H837" s="34">
        <f>(C837*1.19469026548)+(0)</f>
        <v>14.336283185759999</v>
      </c>
      <c r="I837" s="34">
        <f>(C837*1.16814159292)+(-2)</f>
        <v>12.017699115040001</v>
      </c>
      <c r="J837" s="34">
        <f>(C837*1.1238938053)+(-3.9)</f>
        <v>9.5867256636000011</v>
      </c>
      <c r="K837" s="34">
        <f>(C837*1.07964601769)+(-5.6)</f>
        <v>7.3557522122800005</v>
      </c>
    </row>
    <row r="838" spans="1:11" s="21" customFormat="1" ht="19.95" customHeight="1" x14ac:dyDescent="0.25">
      <c r="A838" s="13" t="str">
        <f>"4401"</f>
        <v>4401</v>
      </c>
      <c r="B838" s="14" t="s">
        <v>1185</v>
      </c>
      <c r="C838" s="13" t="str">
        <f>"25.0"</f>
        <v>25.0</v>
      </c>
      <c r="D838" s="32">
        <f>(C838*1.24778761061)+(0.4)</f>
        <v>31.594690265250001</v>
      </c>
      <c r="E838" s="33">
        <f>(C838*1.16814159292)+(-1)</f>
        <v>28.203539823000003</v>
      </c>
      <c r="F838" s="33">
        <f>(C838*1.1238938053)+(-4.4)</f>
        <v>23.697345132500004</v>
      </c>
      <c r="G838" s="33">
        <f>(C838*1.06194690265)+(-5.9)</f>
        <v>20.648672566249999</v>
      </c>
      <c r="H838" s="34">
        <f>(C838*1.19469026548)+(0)</f>
        <v>29.867256637000001</v>
      </c>
      <c r="I838" s="34">
        <f>(C838*1.16814159292)+(-2)</f>
        <v>27.203539823000003</v>
      </c>
      <c r="J838" s="34">
        <f>(C838*1.1238938053)+(-3.9)</f>
        <v>24.197345132500004</v>
      </c>
      <c r="K838" s="34">
        <f>(C838*1.07964601769)+(-5.6)</f>
        <v>21.391150442250002</v>
      </c>
    </row>
    <row r="839" spans="1:11" s="21" customFormat="1" ht="19.95" customHeight="1" x14ac:dyDescent="0.25">
      <c r="A839" s="13" t="str">
        <f>"1004069"</f>
        <v>1004069</v>
      </c>
      <c r="B839" s="14" t="s">
        <v>1186</v>
      </c>
      <c r="C839" s="13" t="str">
        <f>"6.0"</f>
        <v>6.0</v>
      </c>
      <c r="D839" s="32">
        <f>(C839*1.24778761061)+(0.4)</f>
        <v>7.8867256636600009</v>
      </c>
      <c r="E839" s="33">
        <f>(C839*1.16814159292)+(-1)</f>
        <v>6.0088495575200005</v>
      </c>
      <c r="F839" s="33">
        <f>(C839*1.1238938053)+(-4.4)</f>
        <v>2.3433628318000004</v>
      </c>
      <c r="G839" s="33">
        <f>(C839*1.06194690265)+(-5.9)</f>
        <v>0.47168141589999912</v>
      </c>
      <c r="H839" s="34">
        <f>(C839*1.19469026548)+(0)</f>
        <v>7.1681415928799996</v>
      </c>
      <c r="I839" s="34">
        <f>(C839*1.16814159292)+(-2)</f>
        <v>5.0088495575200005</v>
      </c>
      <c r="J839" s="34">
        <f>(C839*1.1238938053)+(-3.9)</f>
        <v>2.8433628318000008</v>
      </c>
      <c r="K839" s="34">
        <f>(C839*1.07964601769)+(-5.6)</f>
        <v>0.87787610614000045</v>
      </c>
    </row>
    <row r="840" spans="1:11" s="21" customFormat="1" ht="19.95" customHeight="1" x14ac:dyDescent="0.25">
      <c r="A840" s="13" t="str">
        <f>"40091"</f>
        <v>40091</v>
      </c>
      <c r="B840" s="14" t="s">
        <v>1187</v>
      </c>
      <c r="C840" s="13" t="str">
        <f>"17.7"</f>
        <v>17.7</v>
      </c>
      <c r="D840" s="32">
        <f>(C840*1.24778761061)+(0.4)</f>
        <v>22.485840707796999</v>
      </c>
      <c r="E840" s="33">
        <f>(C840*1.16814159292)+(-1)</f>
        <v>19.676106194683999</v>
      </c>
      <c r="F840" s="33">
        <f>(C840*1.1238938053)+(-4.4)</f>
        <v>15.492920353809998</v>
      </c>
      <c r="G840" s="33">
        <f>(C840*1.06194690265)+(-5.9)</f>
        <v>12.896460176904997</v>
      </c>
      <c r="H840" s="34">
        <f>(C840*1.19469026548)+(0)</f>
        <v>21.146017698996001</v>
      </c>
      <c r="I840" s="34">
        <f>(C840*1.16814159292)+(-2)</f>
        <v>18.676106194683999</v>
      </c>
      <c r="J840" s="34">
        <f>(C840*1.1238938053)+(-3.9)</f>
        <v>15.992920353809998</v>
      </c>
      <c r="K840" s="34">
        <f>(C840*1.07964601769)+(-5.6)</f>
        <v>13.509734513113001</v>
      </c>
    </row>
    <row r="841" spans="1:11" s="21" customFormat="1" ht="19.95" customHeight="1" x14ac:dyDescent="0.25">
      <c r="A841" s="13" t="str">
        <f>"43801"</f>
        <v>43801</v>
      </c>
      <c r="B841" s="14" t="s">
        <v>1188</v>
      </c>
      <c r="C841" s="13" t="str">
        <f>"22.5"</f>
        <v>22.5</v>
      </c>
      <c r="D841" s="32">
        <f>(C841*1.24778761061)+(0.4)</f>
        <v>28.475221238725002</v>
      </c>
      <c r="E841" s="33">
        <f>(C841*1.16814159292)+(-1)</f>
        <v>25.283185840700003</v>
      </c>
      <c r="F841" s="33">
        <f>(C841*1.1238938053)+(-4.4)</f>
        <v>20.887610619249998</v>
      </c>
      <c r="G841" s="33">
        <f>(C841*1.06194690265)+(-5.9)</f>
        <v>17.993805309624996</v>
      </c>
      <c r="H841" s="34">
        <f>(C841*1.19469026548)+(0)</f>
        <v>26.880530973300001</v>
      </c>
      <c r="I841" s="34">
        <f>(C841*1.16814159292)+(-2)</f>
        <v>24.283185840700003</v>
      </c>
      <c r="J841" s="34">
        <f>(C841*1.1238938053)+(-3.9)</f>
        <v>21.387610619250001</v>
      </c>
      <c r="K841" s="34">
        <f>(C841*1.07964601769)+(-5.6)</f>
        <v>18.692035398024998</v>
      </c>
    </row>
    <row r="842" spans="1:11" s="21" customFormat="1" ht="19.95" customHeight="1" x14ac:dyDescent="0.25">
      <c r="A842" s="13" t="str">
        <f>"72179"</f>
        <v>72179</v>
      </c>
      <c r="B842" s="14" t="s">
        <v>1189</v>
      </c>
      <c r="C842" s="13" t="str">
        <f>"23.3"</f>
        <v>23.3</v>
      </c>
      <c r="D842" s="32">
        <f>(C842*1.24778761061)+(0.4)</f>
        <v>29.473451327213002</v>
      </c>
      <c r="E842" s="33">
        <f>(C842*1.16814159292)+(-1)</f>
        <v>26.217699115036002</v>
      </c>
      <c r="F842" s="33">
        <f>(C842*1.1238938053)+(-4.4)</f>
        <v>21.786725663490003</v>
      </c>
      <c r="G842" s="33">
        <f>(C842*1.06194690265)+(-5.9)</f>
        <v>18.843362831744997</v>
      </c>
      <c r="H842" s="34">
        <f>(C842*1.19469026548)+(0)</f>
        <v>27.836283185684</v>
      </c>
      <c r="I842" s="34">
        <f>(C842*1.16814159292)+(-2)</f>
        <v>25.217699115036002</v>
      </c>
      <c r="J842" s="34">
        <f>(C842*1.1238938053)+(-3.9)</f>
        <v>22.286725663490003</v>
      </c>
      <c r="K842" s="34">
        <f>(C842*1.07964601769)+(-5.6)</f>
        <v>19.555752212177005</v>
      </c>
    </row>
    <row r="843" spans="1:11" s="21" customFormat="1" ht="19.95" customHeight="1" x14ac:dyDescent="0.25">
      <c r="A843" s="13" t="str">
        <f>"66540"</f>
        <v>66540</v>
      </c>
      <c r="B843" s="14" t="s">
        <v>1190</v>
      </c>
      <c r="C843" s="13" t="str">
        <f>"17.3"</f>
        <v>17.3</v>
      </c>
      <c r="D843" s="32">
        <f>(C843*1.24778761061)+(0.4)</f>
        <v>21.986725663553003</v>
      </c>
      <c r="E843" s="33">
        <f>(C843*1.16814159292)+(-1)</f>
        <v>19.208849557516004</v>
      </c>
      <c r="F843" s="33">
        <f>(C843*1.1238938053)+(-4.4)</f>
        <v>15.043362831690002</v>
      </c>
      <c r="G843" s="33">
        <f>(C843*1.06194690265)+(-5.9)</f>
        <v>12.471681415845</v>
      </c>
      <c r="H843" s="34">
        <f>(C843*1.19469026548)+(0)</f>
        <v>20.668141592804002</v>
      </c>
      <c r="I843" s="34">
        <f>(C843*1.16814159292)+(-2)</f>
        <v>18.208849557516004</v>
      </c>
      <c r="J843" s="34">
        <f>(C843*1.1238938053)+(-3.9)</f>
        <v>15.543362831690002</v>
      </c>
      <c r="K843" s="34">
        <f>(C843*1.07964601769)+(-5.6)</f>
        <v>13.077876106037001</v>
      </c>
    </row>
    <row r="844" spans="1:11" s="21" customFormat="1" ht="19.95" customHeight="1" x14ac:dyDescent="0.25">
      <c r="A844" s="13" t="str">
        <f>"49050"</f>
        <v>49050</v>
      </c>
      <c r="B844" s="14" t="s">
        <v>1191</v>
      </c>
      <c r="C844" s="13" t="str">
        <f>"16.9"</f>
        <v>16.9</v>
      </c>
      <c r="D844" s="32">
        <f>(C844*1.24778761061)+(0.4)</f>
        <v>21.487610619308999</v>
      </c>
      <c r="E844" s="33">
        <f>(C844*1.16814159292)+(-1)</f>
        <v>18.741592920348001</v>
      </c>
      <c r="F844" s="33">
        <f>(C844*1.1238938053)+(-4.4)</f>
        <v>14.59380530957</v>
      </c>
      <c r="G844" s="33">
        <f>(C844*1.06194690265)+(-5.9)</f>
        <v>12.046902654784995</v>
      </c>
      <c r="H844" s="34">
        <f>(C844*1.19469026548)+(0)</f>
        <v>20.190265486611999</v>
      </c>
      <c r="I844" s="34">
        <f>(C844*1.16814159292)+(-2)</f>
        <v>17.741592920348001</v>
      </c>
      <c r="J844" s="34">
        <f>(C844*1.1238938053)+(-3.9)</f>
        <v>15.09380530957</v>
      </c>
      <c r="K844" s="34">
        <f>(C844*1.07964601769)+(-5.6)</f>
        <v>12.646017698960998</v>
      </c>
    </row>
    <row r="845" spans="1:11" s="21" customFormat="1" ht="19.95" customHeight="1" x14ac:dyDescent="0.25">
      <c r="A845" s="13" t="str">
        <f>"1013491"</f>
        <v>1013491</v>
      </c>
      <c r="B845" s="14" t="s">
        <v>1192</v>
      </c>
      <c r="C845" s="13" t="str">
        <f>"26.3"</f>
        <v>26.3</v>
      </c>
      <c r="D845" s="32">
        <f>(C845*1.24778761061)+(0.4)</f>
        <v>33.216814159043004</v>
      </c>
      <c r="E845" s="33">
        <f>(C845*1.16814159292)+(-1)</f>
        <v>29.722123893796002</v>
      </c>
      <c r="F845" s="33">
        <f>(C845*1.1238938053)+(-4.4)</f>
        <v>25.158407079390003</v>
      </c>
      <c r="G845" s="33">
        <f>(C845*1.06194690265)+(-5.9)</f>
        <v>22.029203539694997</v>
      </c>
      <c r="H845" s="34">
        <f>(C845*1.19469026548)+(0)</f>
        <v>31.420353982124002</v>
      </c>
      <c r="I845" s="34">
        <f>(C845*1.16814159292)+(-2)</f>
        <v>28.722123893796002</v>
      </c>
      <c r="J845" s="34">
        <f>(C845*1.1238938053)+(-3.9)</f>
        <v>25.658407079390003</v>
      </c>
      <c r="K845" s="34">
        <f>(C845*1.07964601769)+(-5.6)</f>
        <v>22.794690265246999</v>
      </c>
    </row>
    <row r="846" spans="1:11" s="21" customFormat="1" ht="19.95" customHeight="1" x14ac:dyDescent="0.25">
      <c r="A846" s="13" t="str">
        <f>"23339"</f>
        <v>23339</v>
      </c>
      <c r="B846" s="14" t="s">
        <v>1193</v>
      </c>
      <c r="C846" s="13" t="str">
        <f>"9.6"</f>
        <v>9.6</v>
      </c>
      <c r="D846" s="32">
        <f>(C846*1.24778761061)+(0.4)</f>
        <v>12.378761061856</v>
      </c>
      <c r="E846" s="33">
        <f>(C846*1.16814159292)+(-1)</f>
        <v>10.214159292032001</v>
      </c>
      <c r="F846" s="33">
        <f>(C846*1.1238938053)+(-4.4)</f>
        <v>6.3893805308800005</v>
      </c>
      <c r="G846" s="33">
        <f>(C846*1.06194690265)+(-5.9)</f>
        <v>4.2946902654399981</v>
      </c>
      <c r="H846" s="34">
        <f>(C846*1.19469026548)+(0)</f>
        <v>11.469026548607999</v>
      </c>
      <c r="I846" s="34">
        <f>(C846*1.16814159292)+(-2)</f>
        <v>9.2141592920320008</v>
      </c>
      <c r="J846" s="34">
        <f>(C846*1.1238938053)+(-3.9)</f>
        <v>6.8893805308800005</v>
      </c>
      <c r="K846" s="34">
        <f>(C846*1.07964601769)+(-5.6)</f>
        <v>4.7646017698240009</v>
      </c>
    </row>
    <row r="847" spans="1:11" s="21" customFormat="1" ht="19.95" customHeight="1" x14ac:dyDescent="0.25">
      <c r="A847" s="13" t="str">
        <f>"1011336"</f>
        <v>1011336</v>
      </c>
      <c r="B847" s="14" t="s">
        <v>1194</v>
      </c>
      <c r="C847" s="13" t="str">
        <f>"16.5"</f>
        <v>16.5</v>
      </c>
      <c r="D847" s="32">
        <f>(C847*1.24778761061)+(0.4)</f>
        <v>20.988495575064999</v>
      </c>
      <c r="E847" s="33">
        <f>(C847*1.16814159292)+(-1)</f>
        <v>18.274336283180002</v>
      </c>
      <c r="F847" s="33">
        <f>(C847*1.1238938053)+(-4.4)</f>
        <v>14.14424778745</v>
      </c>
      <c r="G847" s="33">
        <f>(C847*1.06194690265)+(-5.9)</f>
        <v>11.622123893724998</v>
      </c>
      <c r="H847" s="34">
        <f>(C847*1.19469026548)+(0)</f>
        <v>19.712389380419999</v>
      </c>
      <c r="I847" s="34">
        <f>(C847*1.16814159292)+(-2)</f>
        <v>17.274336283180002</v>
      </c>
      <c r="J847" s="34">
        <f>(C847*1.1238938053)+(-3.9)</f>
        <v>14.64424778745</v>
      </c>
      <c r="K847" s="34">
        <f>(C847*1.07964601769)+(-5.6)</f>
        <v>12.214159291885002</v>
      </c>
    </row>
    <row r="848" spans="1:11" s="21" customFormat="1" ht="19.95" customHeight="1" x14ac:dyDescent="0.25">
      <c r="A848" s="13" t="str">
        <f>"19015"</f>
        <v>19015</v>
      </c>
      <c r="B848" s="14" t="s">
        <v>1195</v>
      </c>
      <c r="C848" s="13" t="str">
        <f>"11.0"</f>
        <v>11.0</v>
      </c>
      <c r="D848" s="32">
        <f>(C848*1.24778761061)+(0.4)</f>
        <v>14.125663716710001</v>
      </c>
      <c r="E848" s="33">
        <f>(C848*1.16814159292)+(-1)</f>
        <v>11.849557522120001</v>
      </c>
      <c r="F848" s="33">
        <f>(C848*1.1238938053)+(-4.4)</f>
        <v>7.9628318582999995</v>
      </c>
      <c r="G848" s="33">
        <f>(C848*1.06194690265)+(-5.9)</f>
        <v>5.7814159291499987</v>
      </c>
      <c r="H848" s="34">
        <f>(C848*1.19469026548)+(0)</f>
        <v>13.141592920280001</v>
      </c>
      <c r="I848" s="34">
        <f>(C848*1.16814159292)+(-2)</f>
        <v>10.849557522120001</v>
      </c>
      <c r="J848" s="34">
        <f>(C848*1.1238938053)+(-3.9)</f>
        <v>8.4628318582999995</v>
      </c>
      <c r="K848" s="34">
        <f>(C848*1.07964601769)+(-5.6)</f>
        <v>6.2761061945900014</v>
      </c>
    </row>
    <row r="849" spans="1:11" s="21" customFormat="1" ht="19.95" customHeight="1" x14ac:dyDescent="0.25">
      <c r="A849" s="13" t="str">
        <f>"66157"</f>
        <v>66157</v>
      </c>
      <c r="B849" s="14" t="s">
        <v>1196</v>
      </c>
      <c r="C849" s="13" t="str">
        <f>"8.7"</f>
        <v>8.7</v>
      </c>
      <c r="D849" s="32">
        <f>(C849*1.24778761061)+(0.4)</f>
        <v>11.255752212307</v>
      </c>
      <c r="E849" s="33">
        <f>(C849*1.16814159292)+(-1)</f>
        <v>9.1628318584039992</v>
      </c>
      <c r="F849" s="33">
        <f>(C849*1.1238938053)+(-4.4)</f>
        <v>5.3778761061099996</v>
      </c>
      <c r="G849" s="33">
        <f>(C849*1.06194690265)+(-5.9)</f>
        <v>3.3389380530549975</v>
      </c>
      <c r="H849" s="34">
        <f>(C849*1.19469026548)+(0)</f>
        <v>10.393805309675999</v>
      </c>
      <c r="I849" s="34">
        <f>(C849*1.16814159292)+(-2)</f>
        <v>8.1628318584039992</v>
      </c>
      <c r="J849" s="34">
        <f>(C849*1.1238938053)+(-3.9)</f>
        <v>5.8778761061099996</v>
      </c>
      <c r="K849" s="34">
        <f>(C849*1.07964601769)+(-5.6)</f>
        <v>3.7929203539029999</v>
      </c>
    </row>
    <row r="850" spans="1:11" s="21" customFormat="1" ht="19.95" customHeight="1" x14ac:dyDescent="0.25">
      <c r="A850" s="13" t="str">
        <f>"79530"</f>
        <v>79530</v>
      </c>
      <c r="B850" s="14" t="s">
        <v>1197</v>
      </c>
      <c r="C850" s="13" t="str">
        <f>"25.1"</f>
        <v>25.1</v>
      </c>
      <c r="D850" s="32">
        <f>(C850*1.24778761061)+(0.4)</f>
        <v>31.719469026311003</v>
      </c>
      <c r="E850" s="33">
        <f>(C850*1.16814159292)+(-1)</f>
        <v>28.320353982292005</v>
      </c>
      <c r="F850" s="33">
        <f>(C850*1.1238938053)+(-4.4)</f>
        <v>23.809734513030001</v>
      </c>
      <c r="G850" s="33">
        <f>(C850*1.06194690265)+(-5.9)</f>
        <v>20.754867256514999</v>
      </c>
      <c r="H850" s="34">
        <f>(C850*1.19469026548)+(0)</f>
        <v>29.986725663548</v>
      </c>
      <c r="I850" s="34">
        <f>(C850*1.16814159292)+(-2)</f>
        <v>27.320353982292005</v>
      </c>
      <c r="J850" s="34">
        <f>(C850*1.1238938053)+(-3.9)</f>
        <v>24.309734513030005</v>
      </c>
      <c r="K850" s="34">
        <f>(C850*1.07964601769)+(-5.6)</f>
        <v>21.499115044019</v>
      </c>
    </row>
    <row r="851" spans="1:11" s="21" customFormat="1" ht="19.95" customHeight="1" x14ac:dyDescent="0.25">
      <c r="A851" s="13" t="str">
        <f>"48628"</f>
        <v>48628</v>
      </c>
      <c r="B851" s="14" t="s">
        <v>1198</v>
      </c>
      <c r="C851" s="13" t="str">
        <f>"10.1"</f>
        <v>10.1</v>
      </c>
      <c r="D851" s="32">
        <f>(C851*1.24778761061)+(0.4)</f>
        <v>13.002654867161</v>
      </c>
      <c r="E851" s="33">
        <f>(C851*1.16814159292)+(-1)</f>
        <v>10.798230088492</v>
      </c>
      <c r="F851" s="33">
        <f>(C851*1.1238938053)+(-4.4)</f>
        <v>6.9513274335300004</v>
      </c>
      <c r="G851" s="33">
        <f>(C851*1.06194690265)+(-5.9)</f>
        <v>4.8256637167649981</v>
      </c>
      <c r="H851" s="34">
        <f>(C851*1.19469026548)+(0)</f>
        <v>12.066371681348</v>
      </c>
      <c r="I851" s="34">
        <f>(C851*1.16814159292)+(-2)</f>
        <v>9.7982300884919997</v>
      </c>
      <c r="J851" s="34">
        <f>(C851*1.1238938053)+(-3.9)</f>
        <v>7.4513274335300004</v>
      </c>
      <c r="K851" s="34">
        <f>(C851*1.07964601769)+(-5.6)</f>
        <v>5.3044247786690004</v>
      </c>
    </row>
    <row r="852" spans="1:11" s="21" customFormat="1" ht="19.95" customHeight="1" x14ac:dyDescent="0.25">
      <c r="A852" s="13" t="str">
        <f>"44038"</f>
        <v>44038</v>
      </c>
      <c r="B852" s="14" t="s">
        <v>1199</v>
      </c>
      <c r="C852" s="13" t="str">
        <f>"18.2"</f>
        <v>18.2</v>
      </c>
      <c r="D852" s="32">
        <f>(C852*1.24778761061)+(0.4)</f>
        <v>23.109734513101998</v>
      </c>
      <c r="E852" s="33">
        <f>(C852*1.16814159292)+(-1)</f>
        <v>20.260176991144</v>
      </c>
      <c r="F852" s="33">
        <f>(C852*1.1238938053)+(-4.4)</f>
        <v>16.05486725646</v>
      </c>
      <c r="G852" s="33">
        <f>(C852*1.06194690265)+(-5.9)</f>
        <v>13.427433628229997</v>
      </c>
      <c r="H852" s="34">
        <f>(C852*1.19469026548)+(0)</f>
        <v>21.743362831736</v>
      </c>
      <c r="I852" s="34">
        <f>(C852*1.16814159292)+(-2)</f>
        <v>19.260176991144</v>
      </c>
      <c r="J852" s="34">
        <f>(C852*1.1238938053)+(-3.9)</f>
        <v>16.554867256460003</v>
      </c>
      <c r="K852" s="34">
        <f>(C852*1.07964601769)+(-5.6)</f>
        <v>14.049557521957999</v>
      </c>
    </row>
    <row r="853" spans="1:11" s="21" customFormat="1" ht="19.95" customHeight="1" x14ac:dyDescent="0.25">
      <c r="A853" s="13" t="str">
        <f>"25388"</f>
        <v>25388</v>
      </c>
      <c r="B853" s="14" t="s">
        <v>1200</v>
      </c>
      <c r="C853" s="13" t="str">
        <f>"5.9"</f>
        <v>5.9</v>
      </c>
      <c r="D853" s="32">
        <f>(C853*1.24778761061)+(0.4)</f>
        <v>7.7619469025990018</v>
      </c>
      <c r="E853" s="33">
        <f>(C853*1.16814159292)+(-1)</f>
        <v>5.8920353982280007</v>
      </c>
      <c r="F853" s="33">
        <f>(C853*1.1238938053)+(-4.4)</f>
        <v>2.2309734512700006</v>
      </c>
      <c r="G853" s="33">
        <f>(C853*1.06194690265)+(-5.9)</f>
        <v>0.36548672563499984</v>
      </c>
      <c r="H853" s="34">
        <f>(C853*1.19469026548)+(0)</f>
        <v>7.0486725663320007</v>
      </c>
      <c r="I853" s="34">
        <f>(C853*1.16814159292)+(-2)</f>
        <v>4.8920353982280007</v>
      </c>
      <c r="J853" s="34">
        <f>(C853*1.1238938053)+(-3.9)</f>
        <v>2.730973451270001</v>
      </c>
      <c r="K853" s="34">
        <f>(C853*1.07964601769)+(-5.6)</f>
        <v>0.76991150437100053</v>
      </c>
    </row>
    <row r="854" spans="1:11" s="21" customFormat="1" ht="19.95" customHeight="1" x14ac:dyDescent="0.25">
      <c r="A854" s="13" t="str">
        <f>"58592"</f>
        <v>58592</v>
      </c>
      <c r="B854" s="14" t="s">
        <v>1201</v>
      </c>
      <c r="C854" s="13" t="str">
        <f>"14.1"</f>
        <v>14.1</v>
      </c>
      <c r="D854" s="32">
        <f>(C854*1.24778761061)+(0.4)</f>
        <v>17.993805309601001</v>
      </c>
      <c r="E854" s="33">
        <f>(C854*1.16814159292)+(-1)</f>
        <v>15.470796460172</v>
      </c>
      <c r="F854" s="33">
        <f>(C854*1.1238938053)+(-4.4)</f>
        <v>11.44690265473</v>
      </c>
      <c r="G854" s="33">
        <f>(C854*1.06194690265)+(-5.9)</f>
        <v>9.0734513273649977</v>
      </c>
      <c r="H854" s="34">
        <f>(C854*1.19469026548)+(0)</f>
        <v>16.845132743268</v>
      </c>
      <c r="I854" s="34">
        <f>(C854*1.16814159292)+(-2)</f>
        <v>14.470796460172</v>
      </c>
      <c r="J854" s="34">
        <f>(C854*1.1238938053)+(-3.9)</f>
        <v>11.94690265473</v>
      </c>
      <c r="K854" s="34">
        <f>(C854*1.07964601769)+(-5.6)</f>
        <v>9.6230088494290005</v>
      </c>
    </row>
    <row r="855" spans="1:11" s="21" customFormat="1" ht="19.95" customHeight="1" x14ac:dyDescent="0.25">
      <c r="A855" s="13" t="str">
        <f>"28792"</f>
        <v>28792</v>
      </c>
      <c r="B855" s="14" t="s">
        <v>1202</v>
      </c>
      <c r="C855" s="13" t="str">
        <f>"11.6000"</f>
        <v>11.6000</v>
      </c>
      <c r="D855" s="32">
        <f>(C855*1.24778761061)+(0.4)</f>
        <v>14.874336283076001</v>
      </c>
      <c r="E855" s="33">
        <f>(C855*1.16814159292)+(-1)</f>
        <v>12.550442477872</v>
      </c>
      <c r="F855" s="33">
        <f>(C855*1.1238938053)+(-4.4)</f>
        <v>8.6371681414800001</v>
      </c>
      <c r="G855" s="33">
        <f>(C855*1.06194690265)+(-5.9)</f>
        <v>6.4185840707399979</v>
      </c>
      <c r="H855" s="34">
        <f>(C855*1.19469026548)+(0)</f>
        <v>13.858407079568</v>
      </c>
      <c r="I855" s="34">
        <f>(C855*1.16814159292)+(-2)</f>
        <v>11.550442477872</v>
      </c>
      <c r="J855" s="34">
        <f>(C855*1.1238938053)+(-3.9)</f>
        <v>9.1371681414800001</v>
      </c>
      <c r="K855" s="34">
        <f>(C855*1.07964601769)+(-5.6)</f>
        <v>6.9238938052040009</v>
      </c>
    </row>
    <row r="856" spans="1:11" s="21" customFormat="1" ht="19.95" customHeight="1" x14ac:dyDescent="0.25">
      <c r="A856" s="13" t="str">
        <f>"28741"</f>
        <v>28741</v>
      </c>
      <c r="B856" s="14" t="s">
        <v>1203</v>
      </c>
      <c r="C856" s="13" t="str">
        <f>"10.6"</f>
        <v>10.6</v>
      </c>
      <c r="D856" s="32">
        <f>(C856*1.24778761061)+(0.4)</f>
        <v>13.626548672466001</v>
      </c>
      <c r="E856" s="33">
        <f>(C856*1.16814159292)+(-1)</f>
        <v>11.382300884952</v>
      </c>
      <c r="F856" s="33">
        <f>(C856*1.1238938053)+(-4.4)</f>
        <v>7.5132743361800003</v>
      </c>
      <c r="G856" s="33">
        <f>(C856*1.06194690265)+(-5.9)</f>
        <v>5.356637168089998</v>
      </c>
      <c r="H856" s="34">
        <f>(C856*1.19469026548)+(0)</f>
        <v>12.663716814088</v>
      </c>
      <c r="I856" s="34">
        <f>(C856*1.16814159292)+(-2)</f>
        <v>10.382300884952</v>
      </c>
      <c r="J856" s="34">
        <f>(C856*1.1238938053)+(-3.9)</f>
        <v>8.0132743361800003</v>
      </c>
      <c r="K856" s="34">
        <f>(C856*1.07964601769)+(-5.6)</f>
        <v>5.844247787514</v>
      </c>
    </row>
    <row r="857" spans="1:11" s="21" customFormat="1" ht="19.95" customHeight="1" x14ac:dyDescent="0.25">
      <c r="A857" s="13" t="str">
        <f>"48717"</f>
        <v>48717</v>
      </c>
      <c r="B857" s="14" t="s">
        <v>1204</v>
      </c>
      <c r="C857" s="13" t="str">
        <f>"15.2"</f>
        <v>15.2</v>
      </c>
      <c r="D857" s="32">
        <f>(C857*1.24778761061)+(0.4)</f>
        <v>19.366371681272</v>
      </c>
      <c r="E857" s="33">
        <f>(C857*1.16814159292)+(-1)</f>
        <v>16.755752212383999</v>
      </c>
      <c r="F857" s="33">
        <f>(C857*1.1238938053)+(-4.4)</f>
        <v>12.683185840559998</v>
      </c>
      <c r="G857" s="33">
        <f>(C857*1.06194690265)+(-5.9)</f>
        <v>10.241592920279997</v>
      </c>
      <c r="H857" s="34">
        <f>(C857*1.19469026548)+(0)</f>
        <v>18.159292035295998</v>
      </c>
      <c r="I857" s="34">
        <f>(C857*1.16814159292)+(-2)</f>
        <v>15.755752212383999</v>
      </c>
      <c r="J857" s="34">
        <f>(C857*1.1238938053)+(-3.9)</f>
        <v>13.183185840559998</v>
      </c>
      <c r="K857" s="34">
        <f>(C857*1.07964601769)+(-5.6)</f>
        <v>10.810619468888001</v>
      </c>
    </row>
    <row r="858" spans="1:11" s="21" customFormat="1" ht="19.95" customHeight="1" x14ac:dyDescent="0.25">
      <c r="A858" s="13" t="str">
        <f>"36708"</f>
        <v>36708</v>
      </c>
      <c r="B858" s="14" t="s">
        <v>1205</v>
      </c>
      <c r="C858" s="13" t="str">
        <f>"18.1"</f>
        <v>18.1</v>
      </c>
      <c r="D858" s="32">
        <f>(C858*1.24778761061)+(0.4)</f>
        <v>22.984955752041003</v>
      </c>
      <c r="E858" s="33">
        <f>(C858*1.16814159292)+(-1)</f>
        <v>20.143362831852002</v>
      </c>
      <c r="F858" s="33">
        <f>(C858*1.1238938053)+(-4.4)</f>
        <v>15.942477875930001</v>
      </c>
      <c r="G858" s="33">
        <f>(C858*1.06194690265)+(-5.9)</f>
        <v>13.321238937965001</v>
      </c>
      <c r="H858" s="34">
        <f>(C858*1.19469026548)+(0)</f>
        <v>21.623893805188001</v>
      </c>
      <c r="I858" s="34">
        <f>(C858*1.16814159292)+(-2)</f>
        <v>19.143362831852002</v>
      </c>
      <c r="J858" s="34">
        <f>(C858*1.1238938053)+(-3.9)</f>
        <v>16.442477875930003</v>
      </c>
      <c r="K858" s="34">
        <f>(C858*1.07964601769)+(-5.6)</f>
        <v>13.941592920189001</v>
      </c>
    </row>
    <row r="859" spans="1:11" s="21" customFormat="1" ht="19.95" customHeight="1" x14ac:dyDescent="0.25">
      <c r="A859" s="13" t="str">
        <f>"3446"</f>
        <v>3446</v>
      </c>
      <c r="B859" s="14" t="s">
        <v>1206</v>
      </c>
      <c r="C859" s="13" t="str">
        <f>"17.5"</f>
        <v>17.5</v>
      </c>
      <c r="D859" s="32">
        <f>(C859*1.24778761061)+(0.4)</f>
        <v>22.236283185674999</v>
      </c>
      <c r="E859" s="33">
        <f>(C859*1.16814159292)+(-1)</f>
        <v>19.4424778761</v>
      </c>
      <c r="F859" s="33">
        <f>(C859*1.1238938053)+(-4.4)</f>
        <v>15.26814159275</v>
      </c>
      <c r="G859" s="33">
        <f>(C859*1.06194690265)+(-5.9)</f>
        <v>12.684070796374998</v>
      </c>
      <c r="H859" s="34">
        <f>(C859*1.19469026548)+(0)</f>
        <v>20.907079645900001</v>
      </c>
      <c r="I859" s="34">
        <f>(C859*1.16814159292)+(-2)</f>
        <v>18.4424778761</v>
      </c>
      <c r="J859" s="34">
        <f>(C859*1.1238938053)+(-3.9)</f>
        <v>15.76814159275</v>
      </c>
      <c r="K859" s="34">
        <f>(C859*1.07964601769)+(-5.6)</f>
        <v>13.293805309575001</v>
      </c>
    </row>
    <row r="860" spans="1:11" s="21" customFormat="1" ht="19.95" customHeight="1" x14ac:dyDescent="0.25">
      <c r="A860" s="13" t="str">
        <f>"16404"</f>
        <v>16404</v>
      </c>
      <c r="B860" s="14" t="s">
        <v>1207</v>
      </c>
      <c r="C860" s="13" t="str">
        <f>"12.6"</f>
        <v>12.6</v>
      </c>
      <c r="D860" s="32">
        <f>(C860*1.24778761061)+(0.4)</f>
        <v>16.122123893686002</v>
      </c>
      <c r="E860" s="33">
        <f>(C860*1.16814159292)+(-1)</f>
        <v>13.718584070792001</v>
      </c>
      <c r="F860" s="33">
        <f>(C860*1.1238938053)+(-4.4)</f>
        <v>9.7610619467799999</v>
      </c>
      <c r="G860" s="33">
        <f>(C860*1.06194690265)+(-5.9)</f>
        <v>7.4805309733899978</v>
      </c>
      <c r="H860" s="34">
        <f>(C860*1.19469026548)+(0)</f>
        <v>15.053097345048</v>
      </c>
      <c r="I860" s="34">
        <f>(C860*1.16814159292)+(-2)</f>
        <v>12.718584070792001</v>
      </c>
      <c r="J860" s="34">
        <f>(C860*1.1238938053)+(-3.9)</f>
        <v>10.26106194678</v>
      </c>
      <c r="K860" s="34">
        <f>(C860*1.07964601769)+(-5.6)</f>
        <v>8.003539822894</v>
      </c>
    </row>
    <row r="861" spans="1:11" s="21" customFormat="1" ht="19.95" customHeight="1" x14ac:dyDescent="0.25">
      <c r="A861" s="13" t="str">
        <f>"16406"</f>
        <v>16406</v>
      </c>
      <c r="B861" s="14" t="s">
        <v>1208</v>
      </c>
      <c r="C861" s="13" t="str">
        <f>"26.5"</f>
        <v>26.5</v>
      </c>
      <c r="D861" s="32">
        <f>(C861*1.24778761061)+(0.4)</f>
        <v>33.466371681165</v>
      </c>
      <c r="E861" s="33">
        <f>(C861*1.16814159292)+(-1)</f>
        <v>29.955752212380002</v>
      </c>
      <c r="F861" s="33">
        <f>(C861*1.1238938053)+(-4.4)</f>
        <v>25.383185840450004</v>
      </c>
      <c r="G861" s="33">
        <f>(C861*1.06194690265)+(-5.9)</f>
        <v>22.241592920224996</v>
      </c>
      <c r="H861" s="34">
        <f>(C861*1.19469026548)+(0)</f>
        <v>31.659292035220002</v>
      </c>
      <c r="I861" s="34">
        <f>(C861*1.16814159292)+(-2)</f>
        <v>28.955752212380002</v>
      </c>
      <c r="J861" s="34">
        <f>(C861*1.1238938053)+(-3.9)</f>
        <v>25.883185840450004</v>
      </c>
      <c r="K861" s="34">
        <f>(C861*1.07964601769)+(-5.6)</f>
        <v>23.010619468785002</v>
      </c>
    </row>
    <row r="862" spans="1:11" s="21" customFormat="1" ht="19.95" customHeight="1" x14ac:dyDescent="0.25">
      <c r="A862" s="13" t="str">
        <f>"45731"</f>
        <v>45731</v>
      </c>
      <c r="B862" s="14" t="s">
        <v>1209</v>
      </c>
      <c r="C862" s="13" t="str">
        <f>"20.1"</f>
        <v>20.1</v>
      </c>
      <c r="D862" s="32">
        <f>(C862*1.24778761061)+(0.4)</f>
        <v>25.480530973261001</v>
      </c>
      <c r="E862" s="33">
        <f>(C862*1.16814159292)+(-1)</f>
        <v>22.479646017692005</v>
      </c>
      <c r="F862" s="33">
        <f>(C862*1.1238938053)+(-4.4)</f>
        <v>18.190265486530002</v>
      </c>
      <c r="G862" s="33">
        <f>(C862*1.06194690265)+(-5.9)</f>
        <v>15.445132743265001</v>
      </c>
      <c r="H862" s="34">
        <f>(C862*1.19469026548)+(0)</f>
        <v>24.013274336148001</v>
      </c>
      <c r="I862" s="34">
        <f>(C862*1.16814159292)+(-2)</f>
        <v>21.479646017692005</v>
      </c>
      <c r="J862" s="34">
        <f>(C862*1.1238938053)+(-3.9)</f>
        <v>18.690265486530006</v>
      </c>
      <c r="K862" s="34">
        <f>(C862*1.07964601769)+(-5.6)</f>
        <v>16.100884955569001</v>
      </c>
    </row>
    <row r="863" spans="1:11" s="21" customFormat="1" ht="19.95" customHeight="1" x14ac:dyDescent="0.25">
      <c r="A863" s="13" t="str">
        <f>"50990"</f>
        <v>50990</v>
      </c>
      <c r="B863" s="14" t="s">
        <v>1210</v>
      </c>
      <c r="C863" s="13" t="str">
        <f>"19.5"</f>
        <v>19.5</v>
      </c>
      <c r="D863" s="32">
        <f>(C863*1.24778761061)+(0.4)</f>
        <v>24.731858406895</v>
      </c>
      <c r="E863" s="33">
        <f>(C863*1.16814159292)+(-1)</f>
        <v>21.778761061940003</v>
      </c>
      <c r="F863" s="33">
        <f>(C863*1.1238938053)+(-4.4)</f>
        <v>17.515929203349998</v>
      </c>
      <c r="G863" s="33">
        <f>(C863*1.06194690265)+(-5.9)</f>
        <v>14.807964601674998</v>
      </c>
      <c r="H863" s="34">
        <f>(C863*1.19469026548)+(0)</f>
        <v>23.296460176860002</v>
      </c>
      <c r="I863" s="34">
        <f>(C863*1.16814159292)+(-2)</f>
        <v>20.778761061940003</v>
      </c>
      <c r="J863" s="34">
        <f>(C863*1.1238938053)+(-3.9)</f>
        <v>18.015929203350002</v>
      </c>
      <c r="K863" s="34">
        <f>(C863*1.07964601769)+(-5.6)</f>
        <v>15.453097344954999</v>
      </c>
    </row>
    <row r="864" spans="1:11" s="21" customFormat="1" ht="19.95" customHeight="1" x14ac:dyDescent="0.25">
      <c r="A864" s="13" t="str">
        <f>"16411"</f>
        <v>16411</v>
      </c>
      <c r="B864" s="14" t="s">
        <v>1211</v>
      </c>
      <c r="C864" s="13" t="str">
        <f>"10.6"</f>
        <v>10.6</v>
      </c>
      <c r="D864" s="32">
        <f>(C864*1.24778761061)+(0.4)</f>
        <v>13.626548672466001</v>
      </c>
      <c r="E864" s="33">
        <f>(C864*1.16814159292)+(-1)</f>
        <v>11.382300884952</v>
      </c>
      <c r="F864" s="33">
        <f>(C864*1.1238938053)+(-4.4)</f>
        <v>7.5132743361800003</v>
      </c>
      <c r="G864" s="33">
        <f>(C864*1.06194690265)+(-5.9)</f>
        <v>5.356637168089998</v>
      </c>
      <c r="H864" s="34">
        <f>(C864*1.19469026548)+(0)</f>
        <v>12.663716814088</v>
      </c>
      <c r="I864" s="34">
        <f>(C864*1.16814159292)+(-2)</f>
        <v>10.382300884952</v>
      </c>
      <c r="J864" s="34">
        <f>(C864*1.1238938053)+(-3.9)</f>
        <v>8.0132743361800003</v>
      </c>
      <c r="K864" s="34">
        <f>(C864*1.07964601769)+(-5.6)</f>
        <v>5.844247787514</v>
      </c>
    </row>
    <row r="865" spans="1:11" s="21" customFormat="1" ht="19.95" customHeight="1" x14ac:dyDescent="0.25">
      <c r="A865" s="13" t="str">
        <f>"64284"</f>
        <v>64284</v>
      </c>
      <c r="B865" s="14" t="s">
        <v>1212</v>
      </c>
      <c r="C865" s="13" t="str">
        <f>"20.7"</f>
        <v>20.7</v>
      </c>
      <c r="D865" s="32">
        <f>(C865*1.24778761061)+(0.4)</f>
        <v>26.229203539627001</v>
      </c>
      <c r="E865" s="33">
        <f>(C865*1.16814159292)+(-1)</f>
        <v>23.180530973444</v>
      </c>
      <c r="F865" s="33">
        <f>(C865*1.1238938053)+(-4.4)</f>
        <v>18.864601769709999</v>
      </c>
      <c r="G865" s="33">
        <f>(C865*1.06194690265)+(-5.9)</f>
        <v>16.082300884854995</v>
      </c>
      <c r="H865" s="34">
        <f>(C865*1.19469026548)+(0)</f>
        <v>24.730088495436</v>
      </c>
      <c r="I865" s="34">
        <f>(C865*1.16814159292)+(-2)</f>
        <v>22.180530973444</v>
      </c>
      <c r="J865" s="34">
        <f>(C865*1.1238938053)+(-3.9)</f>
        <v>19.364601769710003</v>
      </c>
      <c r="K865" s="34">
        <f>(C865*1.07964601769)+(-5.6)</f>
        <v>16.748672566182996</v>
      </c>
    </row>
    <row r="866" spans="1:11" s="21" customFormat="1" ht="19.95" customHeight="1" x14ac:dyDescent="0.25">
      <c r="A866" s="13" t="str">
        <f>"1004728"</f>
        <v>1004728</v>
      </c>
      <c r="B866" s="14" t="s">
        <v>1213</v>
      </c>
      <c r="C866" s="13" t="str">
        <f>"25.8"</f>
        <v>25.8</v>
      </c>
      <c r="D866" s="32">
        <f>(C866*1.24778761061)+(0.4)</f>
        <v>32.592920353738002</v>
      </c>
      <c r="E866" s="33">
        <f>(C866*1.16814159292)+(-1)</f>
        <v>29.138053097336002</v>
      </c>
      <c r="F866" s="33">
        <f>(C866*1.1238938053)+(-4.4)</f>
        <v>24.596460176740003</v>
      </c>
      <c r="G866" s="33">
        <f>(C866*1.06194690265)+(-5.9)</f>
        <v>21.498230088370001</v>
      </c>
      <c r="H866" s="34">
        <f>(C866*1.19469026548)+(0)</f>
        <v>30.823008849384003</v>
      </c>
      <c r="I866" s="34">
        <f>(C866*1.16814159292)+(-2)</f>
        <v>28.138053097336002</v>
      </c>
      <c r="J866" s="34">
        <f>(C866*1.1238938053)+(-3.9)</f>
        <v>25.096460176740003</v>
      </c>
      <c r="K866" s="34">
        <f>(C866*1.07964601769)+(-5.6)</f>
        <v>22.254867256402001</v>
      </c>
    </row>
    <row r="867" spans="1:11" s="21" customFormat="1" ht="19.95" customHeight="1" x14ac:dyDescent="0.25">
      <c r="A867" s="13" t="str">
        <f>"16414"</f>
        <v>16414</v>
      </c>
      <c r="B867" s="14" t="s">
        <v>1214</v>
      </c>
      <c r="C867" s="13" t="str">
        <f>"9.4"</f>
        <v>9.4</v>
      </c>
      <c r="D867" s="32">
        <f>(C867*1.24778761061)+(0.4)</f>
        <v>12.129203539734002</v>
      </c>
      <c r="E867" s="33">
        <f>(C867*1.16814159292)+(-1)</f>
        <v>9.9805309734480012</v>
      </c>
      <c r="F867" s="33">
        <f>(C867*1.1238938053)+(-4.4)</f>
        <v>6.1646017698200009</v>
      </c>
      <c r="G867" s="33">
        <f>(C867*1.06194690265)+(-5.9)</f>
        <v>4.0823008849099995</v>
      </c>
      <c r="H867" s="34">
        <f>(C867*1.19469026548)+(0)</f>
        <v>11.230088495512</v>
      </c>
      <c r="I867" s="34">
        <f>(C867*1.16814159292)+(-2)</f>
        <v>8.9805309734480012</v>
      </c>
      <c r="J867" s="34">
        <f>(C867*1.1238938053)+(-3.9)</f>
        <v>6.6646017698200009</v>
      </c>
      <c r="K867" s="34">
        <f>(C867*1.07964601769)+(-5.6)</f>
        <v>4.548672566286001</v>
      </c>
    </row>
    <row r="868" spans="1:11" s="21" customFormat="1" ht="19.95" customHeight="1" x14ac:dyDescent="0.25">
      <c r="A868" s="13" t="str">
        <f>"81404"</f>
        <v>81404</v>
      </c>
      <c r="B868" s="14" t="s">
        <v>1215</v>
      </c>
      <c r="C868" s="13" t="str">
        <f>"20.4"</f>
        <v>20.4</v>
      </c>
      <c r="D868" s="32">
        <f>(C868*1.24778761061)+(0.4)</f>
        <v>25.854867256443999</v>
      </c>
      <c r="E868" s="33">
        <f>(C868*1.16814159292)+(-1)</f>
        <v>22.830088495567999</v>
      </c>
      <c r="F868" s="33">
        <f>(C868*1.1238938053)+(-4.4)</f>
        <v>18.527433628120001</v>
      </c>
      <c r="G868" s="33">
        <f>(C868*1.06194690265)+(-5.9)</f>
        <v>15.763716814059995</v>
      </c>
      <c r="H868" s="34">
        <f>(C868*1.19469026548)+(0)</f>
        <v>24.371681415791997</v>
      </c>
      <c r="I868" s="34">
        <f>(C868*1.16814159292)+(-2)</f>
        <v>21.830088495567999</v>
      </c>
      <c r="J868" s="34">
        <f>(C868*1.1238938053)+(-3.9)</f>
        <v>19.027433628120001</v>
      </c>
      <c r="K868" s="34">
        <f>(C868*1.07964601769)+(-5.6)</f>
        <v>16.424778760876002</v>
      </c>
    </row>
    <row r="869" spans="1:11" s="21" customFormat="1" ht="19.95" customHeight="1" x14ac:dyDescent="0.25">
      <c r="A869" s="13" t="str">
        <f>"47735"</f>
        <v>47735</v>
      </c>
      <c r="B869" s="14" t="s">
        <v>1216</v>
      </c>
      <c r="C869" s="13" t="str">
        <f>"16.5"</f>
        <v>16.5</v>
      </c>
      <c r="D869" s="32">
        <f>(C869*1.24778761061)+(0.4)</f>
        <v>20.988495575064999</v>
      </c>
      <c r="E869" s="33">
        <f>(C869*1.16814159292)+(-1)</f>
        <v>18.274336283180002</v>
      </c>
      <c r="F869" s="33">
        <f>(C869*1.1238938053)+(-4.4)</f>
        <v>14.14424778745</v>
      </c>
      <c r="G869" s="33">
        <f>(C869*1.06194690265)+(-5.9)</f>
        <v>11.622123893724998</v>
      </c>
      <c r="H869" s="34">
        <f>(C869*1.19469026548)+(0)</f>
        <v>19.712389380419999</v>
      </c>
      <c r="I869" s="34">
        <f>(C869*1.16814159292)+(-2)</f>
        <v>17.274336283180002</v>
      </c>
      <c r="J869" s="34">
        <f>(C869*1.1238938053)+(-3.9)</f>
        <v>14.64424778745</v>
      </c>
      <c r="K869" s="34">
        <f>(C869*1.07964601769)+(-5.6)</f>
        <v>12.214159291885002</v>
      </c>
    </row>
    <row r="870" spans="1:11" s="21" customFormat="1" ht="19.95" customHeight="1" x14ac:dyDescent="0.25">
      <c r="A870" s="13" t="str">
        <f>"1009067"</f>
        <v>1009067</v>
      </c>
      <c r="B870" s="14" t="s">
        <v>1217</v>
      </c>
      <c r="C870" s="13" t="str">
        <f>"29.8"</f>
        <v>29.8</v>
      </c>
      <c r="D870" s="32">
        <f>(C870*1.24778761061)+(0.4)</f>
        <v>37.584070796178004</v>
      </c>
      <c r="E870" s="33">
        <f>(C870*1.16814159292)+(-1)</f>
        <v>33.810619469016004</v>
      </c>
      <c r="F870" s="33">
        <f>(C870*1.1238938053)+(-4.4)</f>
        <v>29.092035397940002</v>
      </c>
      <c r="G870" s="33">
        <f>(C870*1.06194690265)+(-5.9)</f>
        <v>25.74601769897</v>
      </c>
      <c r="H870" s="34">
        <f>(C870*1.19469026548)+(0)</f>
        <v>35.601769911304004</v>
      </c>
      <c r="I870" s="34">
        <f>(C870*1.16814159292)+(-2)</f>
        <v>32.810619469016004</v>
      </c>
      <c r="J870" s="34">
        <f>(C870*1.1238938053)+(-3.9)</f>
        <v>29.592035397940002</v>
      </c>
      <c r="K870" s="34">
        <f>(C870*1.07964601769)+(-5.6)</f>
        <v>26.573451327161997</v>
      </c>
    </row>
    <row r="871" spans="1:11" s="21" customFormat="1" ht="19.95" customHeight="1" x14ac:dyDescent="0.25">
      <c r="A871" s="13" t="str">
        <f>"1012999"</f>
        <v>1012999</v>
      </c>
      <c r="B871" s="14" t="s">
        <v>1218</v>
      </c>
      <c r="C871" s="13" t="str">
        <f>"42.1"</f>
        <v>42.1</v>
      </c>
      <c r="D871" s="32">
        <f>(C871*1.24778761061)+(0.4)</f>
        <v>52.931858406681002</v>
      </c>
      <c r="E871" s="33">
        <f>(C871*1.16814159292)+(-1)</f>
        <v>48.178761061932008</v>
      </c>
      <c r="F871" s="33">
        <f>(C871*1.1238938053)+(-4.4)</f>
        <v>42.915929203130005</v>
      </c>
      <c r="G871" s="33">
        <f>(C871*1.06194690265)+(-5.9)</f>
        <v>38.807964601564997</v>
      </c>
      <c r="H871" s="34">
        <f>(C871*1.19469026548)+(0)</f>
        <v>50.296460176708003</v>
      </c>
      <c r="I871" s="34">
        <f>(C871*1.16814159292)+(-2)</f>
        <v>47.178761061932008</v>
      </c>
      <c r="J871" s="34">
        <f>(C871*1.1238938053)+(-3.9)</f>
        <v>43.415929203130005</v>
      </c>
      <c r="K871" s="34">
        <f>(C871*1.07964601769)+(-5.6)</f>
        <v>39.853097344749003</v>
      </c>
    </row>
    <row r="872" spans="1:11" s="21" customFormat="1" ht="19.95" customHeight="1" x14ac:dyDescent="0.25">
      <c r="A872" s="13" t="str">
        <f>"16417"</f>
        <v>16417</v>
      </c>
      <c r="B872" s="14" t="s">
        <v>1219</v>
      </c>
      <c r="C872" s="13" t="str">
        <f>"28.1"</f>
        <v>28.1</v>
      </c>
      <c r="D872" s="32">
        <f>(C872*1.24778761061)+(0.4)</f>
        <v>35.462831858141001</v>
      </c>
      <c r="E872" s="33">
        <f>(C872*1.16814159292)+(-1)</f>
        <v>31.824778761052002</v>
      </c>
      <c r="F872" s="33">
        <f>(C872*1.1238938053)+(-4.4)</f>
        <v>27.181415928930001</v>
      </c>
      <c r="G872" s="33">
        <f>(C872*1.06194690265)+(-5.9)</f>
        <v>23.940707964464998</v>
      </c>
      <c r="H872" s="34">
        <f>(C872*1.19469026548)+(0)</f>
        <v>33.570796459988003</v>
      </c>
      <c r="I872" s="34">
        <f>(C872*1.16814159292)+(-2)</f>
        <v>30.824778761052002</v>
      </c>
      <c r="J872" s="34">
        <f>(C872*1.1238938053)+(-3.9)</f>
        <v>27.681415928930004</v>
      </c>
      <c r="K872" s="34">
        <f>(C872*1.07964601769)+(-5.6)</f>
        <v>24.738053097089001</v>
      </c>
    </row>
    <row r="873" spans="1:11" s="21" customFormat="1" ht="19.95" customHeight="1" x14ac:dyDescent="0.25">
      <c r="A873" s="13" t="str">
        <f>"74995"</f>
        <v>74995</v>
      </c>
      <c r="B873" s="14" t="s">
        <v>1220</v>
      </c>
      <c r="C873" s="13" t="str">
        <f>"17.1"</f>
        <v>17.1</v>
      </c>
      <c r="D873" s="32">
        <f>(C873*1.24778761061)+(0.4)</f>
        <v>21.737168141431003</v>
      </c>
      <c r="E873" s="33">
        <f>(C873*1.16814159292)+(-1)</f>
        <v>18.975221238932004</v>
      </c>
      <c r="F873" s="33">
        <f>(C873*1.1238938053)+(-4.4)</f>
        <v>14.818584070630001</v>
      </c>
      <c r="G873" s="33">
        <f>(C873*1.06194690265)+(-5.9)</f>
        <v>12.259292035315001</v>
      </c>
      <c r="H873" s="34">
        <f>(C873*1.19469026548)+(0)</f>
        <v>20.429203539708002</v>
      </c>
      <c r="I873" s="34">
        <f>(C873*1.16814159292)+(-2)</f>
        <v>17.975221238932004</v>
      </c>
      <c r="J873" s="34">
        <f>(C873*1.1238938053)+(-3.9)</f>
        <v>15.318584070630001</v>
      </c>
      <c r="K873" s="34">
        <f>(C873*1.07964601769)+(-5.6)</f>
        <v>12.861946902499001</v>
      </c>
    </row>
    <row r="874" spans="1:11" s="21" customFormat="1" ht="19.95" customHeight="1" x14ac:dyDescent="0.25">
      <c r="A874" s="13" t="str">
        <f>"16418"</f>
        <v>16418</v>
      </c>
      <c r="B874" s="14" t="s">
        <v>1221</v>
      </c>
      <c r="C874" s="13" t="str">
        <f>"19.7"</f>
        <v>19.7</v>
      </c>
      <c r="D874" s="32">
        <f>(C874*1.24778761061)+(0.4)</f>
        <v>24.981415929017</v>
      </c>
      <c r="E874" s="33">
        <f>(C874*1.16814159292)+(-1)</f>
        <v>22.012389380524002</v>
      </c>
      <c r="F874" s="33">
        <f>(C874*1.1238938053)+(-4.4)</f>
        <v>17.740707964409999</v>
      </c>
      <c r="G874" s="33">
        <f>(C874*1.06194690265)+(-5.9)</f>
        <v>15.020353982204997</v>
      </c>
      <c r="H874" s="34">
        <f>(C874*1.19469026548)+(0)</f>
        <v>23.535398229955998</v>
      </c>
      <c r="I874" s="34">
        <f>(C874*1.16814159292)+(-2)</f>
        <v>21.012389380524002</v>
      </c>
      <c r="J874" s="34">
        <f>(C874*1.1238938053)+(-3.9)</f>
        <v>18.240707964410003</v>
      </c>
      <c r="K874" s="34">
        <f>(C874*1.07964601769)+(-5.6)</f>
        <v>15.669026548492999</v>
      </c>
    </row>
    <row r="875" spans="1:11" s="21" customFormat="1" ht="19.95" customHeight="1" x14ac:dyDescent="0.25">
      <c r="A875" s="13" t="str">
        <f>"20048"</f>
        <v>20048</v>
      </c>
      <c r="B875" s="14" t="s">
        <v>1222</v>
      </c>
      <c r="C875" s="13" t="str">
        <f>"12.0"</f>
        <v>12.0</v>
      </c>
      <c r="D875" s="32">
        <f>(C875*1.24778761061)+(0.4)</f>
        <v>15.373451327320002</v>
      </c>
      <c r="E875" s="33">
        <f>(C875*1.16814159292)+(-1)</f>
        <v>13.017699115040001</v>
      </c>
      <c r="F875" s="33">
        <f>(C875*1.1238938053)+(-4.4)</f>
        <v>9.0867256636000011</v>
      </c>
      <c r="G875" s="33">
        <f>(C875*1.06194690265)+(-5.9)</f>
        <v>6.8433628317999986</v>
      </c>
      <c r="H875" s="34">
        <f>(C875*1.19469026548)+(0)</f>
        <v>14.336283185759999</v>
      </c>
      <c r="I875" s="34">
        <f>(C875*1.16814159292)+(-2)</f>
        <v>12.017699115040001</v>
      </c>
      <c r="J875" s="34">
        <f>(C875*1.1238938053)+(-3.9)</f>
        <v>9.5867256636000011</v>
      </c>
      <c r="K875" s="34">
        <f>(C875*1.07964601769)+(-5.6)</f>
        <v>7.3557522122800005</v>
      </c>
    </row>
    <row r="876" spans="1:11" s="21" customFormat="1" ht="19.95" customHeight="1" x14ac:dyDescent="0.25">
      <c r="A876" s="13" t="str">
        <f>"16421"</f>
        <v>16421</v>
      </c>
      <c r="B876" s="14" t="s">
        <v>1223</v>
      </c>
      <c r="C876" s="13" t="str">
        <f>"24.8"</f>
        <v>24.8</v>
      </c>
      <c r="D876" s="32">
        <f>(C876*1.24778761061)+(0.4)</f>
        <v>31.345132743128001</v>
      </c>
      <c r="E876" s="33">
        <f>(C876*1.16814159292)+(-1)</f>
        <v>27.969911504416004</v>
      </c>
      <c r="F876" s="33">
        <f>(C876*1.1238938053)+(-4.4)</f>
        <v>23.472566371440003</v>
      </c>
      <c r="G876" s="33">
        <f>(C876*1.06194690265)+(-5.9)</f>
        <v>20.436283185720001</v>
      </c>
      <c r="H876" s="34">
        <f>(C876*1.19469026548)+(0)</f>
        <v>29.628318583904001</v>
      </c>
      <c r="I876" s="34">
        <f>(C876*1.16814159292)+(-2)</f>
        <v>26.969911504416004</v>
      </c>
      <c r="J876" s="34">
        <f>(C876*1.1238938053)+(-3.9)</f>
        <v>23.972566371440003</v>
      </c>
      <c r="K876" s="34">
        <f>(C876*1.07964601769)+(-5.6)</f>
        <v>21.175221238711998</v>
      </c>
    </row>
    <row r="877" spans="1:11" s="21" customFormat="1" ht="19.95" customHeight="1" x14ac:dyDescent="0.25">
      <c r="A877" s="13" t="str">
        <f>"75331"</f>
        <v>75331</v>
      </c>
      <c r="B877" s="14" t="s">
        <v>1224</v>
      </c>
      <c r="C877" s="13" t="str">
        <f>"19.4"</f>
        <v>19.4</v>
      </c>
      <c r="D877" s="32">
        <f>(C877*1.24778761061)+(0.4)</f>
        <v>24.607079645833998</v>
      </c>
      <c r="E877" s="33">
        <f>(C877*1.16814159292)+(-1)</f>
        <v>21.661946902648001</v>
      </c>
      <c r="F877" s="33">
        <f>(C877*1.1238938053)+(-4.4)</f>
        <v>17.403539822820001</v>
      </c>
      <c r="G877" s="33">
        <f>(C877*1.06194690265)+(-5.9)</f>
        <v>14.701769911409995</v>
      </c>
      <c r="H877" s="34">
        <f>(C877*1.19469026548)+(0)</f>
        <v>23.176991150311999</v>
      </c>
      <c r="I877" s="34">
        <f>(C877*1.16814159292)+(-2)</f>
        <v>20.661946902648001</v>
      </c>
      <c r="J877" s="34">
        <f>(C877*1.1238938053)+(-3.9)</f>
        <v>17.903539822820001</v>
      </c>
      <c r="K877" s="34">
        <f>(C877*1.07964601769)+(-5.6)</f>
        <v>15.345132743185998</v>
      </c>
    </row>
    <row r="878" spans="1:11" s="21" customFormat="1" ht="19.95" customHeight="1" x14ac:dyDescent="0.25">
      <c r="A878" s="13" t="str">
        <f>"17801"</f>
        <v>17801</v>
      </c>
      <c r="B878" s="14" t="s">
        <v>1225</v>
      </c>
      <c r="C878" s="13" t="str">
        <f>"18.3"</f>
        <v>18.3</v>
      </c>
      <c r="D878" s="32">
        <f>(C878*1.24778761061)+(0.4)</f>
        <v>23.234513274163</v>
      </c>
      <c r="E878" s="33">
        <f>(C878*1.16814159292)+(-1)</f>
        <v>20.376991150436002</v>
      </c>
      <c r="F878" s="33">
        <f>(C878*1.1238938053)+(-4.4)</f>
        <v>16.167256636990004</v>
      </c>
      <c r="G878" s="33">
        <f>(C878*1.06194690265)+(-5.9)</f>
        <v>13.533628318494999</v>
      </c>
      <c r="H878" s="34">
        <f>(C878*1.19469026548)+(0)</f>
        <v>21.862831858284</v>
      </c>
      <c r="I878" s="34">
        <f>(C878*1.16814159292)+(-2)</f>
        <v>19.376991150436002</v>
      </c>
      <c r="J878" s="34">
        <f>(C878*1.1238938053)+(-3.9)</f>
        <v>16.667256636990004</v>
      </c>
      <c r="K878" s="34">
        <f>(C878*1.07964601769)+(-5.6)</f>
        <v>14.157522123727</v>
      </c>
    </row>
    <row r="879" spans="1:11" s="21" customFormat="1" ht="19.95" customHeight="1" x14ac:dyDescent="0.25">
      <c r="A879" s="13" t="str">
        <f>"1007203"</f>
        <v>1007203</v>
      </c>
      <c r="B879" s="14" t="s">
        <v>1226</v>
      </c>
      <c r="C879" s="13" t="str">
        <f>"9.9"</f>
        <v>9.9</v>
      </c>
      <c r="D879" s="32">
        <f>(C879*1.24778761061)+(0.4)</f>
        <v>12.753097345039002</v>
      </c>
      <c r="E879" s="33">
        <f>(C879*1.16814159292)+(-1)</f>
        <v>10.564601769908002</v>
      </c>
      <c r="F879" s="33">
        <f>(C879*1.1238938053)+(-4.4)</f>
        <v>6.7265486724700008</v>
      </c>
      <c r="G879" s="33">
        <f>(C879*1.06194690265)+(-5.9)</f>
        <v>4.6132743362349995</v>
      </c>
      <c r="H879" s="34">
        <f>(C879*1.19469026548)+(0)</f>
        <v>11.827433628252001</v>
      </c>
      <c r="I879" s="34">
        <f>(C879*1.16814159292)+(-2)</f>
        <v>9.5646017699080019</v>
      </c>
      <c r="J879" s="34">
        <f>(C879*1.1238938053)+(-3.9)</f>
        <v>7.2265486724700008</v>
      </c>
      <c r="K879" s="34">
        <f>(C879*1.07964601769)+(-5.6)</f>
        <v>5.0884955751310006</v>
      </c>
    </row>
    <row r="880" spans="1:11" s="21" customFormat="1" ht="19.95" customHeight="1" x14ac:dyDescent="0.25">
      <c r="A880" s="13" t="str">
        <f>"1001825"</f>
        <v>1001825</v>
      </c>
      <c r="B880" s="14" t="s">
        <v>1227</v>
      </c>
      <c r="C880" s="13" t="str">
        <f>"2.0"</f>
        <v>2.0</v>
      </c>
      <c r="D880" s="32">
        <f>(C880*1.24778761061)+(0.4)</f>
        <v>2.8955752212200001</v>
      </c>
      <c r="E880" s="33">
        <f>(C880*1.16814159292)+(-1)</f>
        <v>1.3362831858400002</v>
      </c>
      <c r="F880" s="33">
        <f>(C880*1.1238938053)+(-4.4)</f>
        <v>-2.1522123894000003</v>
      </c>
      <c r="G880" s="33">
        <f>(C880*1.06194690265)+(-5.9)</f>
        <v>-3.7761061947000005</v>
      </c>
      <c r="H880" s="34">
        <f>(C880*1.19469026548)+(0)</f>
        <v>2.38938053096</v>
      </c>
      <c r="I880" s="34">
        <f>(C880*1.16814159292)+(-2)</f>
        <v>0.33628318584000017</v>
      </c>
      <c r="J880" s="34">
        <f>(C880*1.1238938053)+(-3.9)</f>
        <v>-1.6522123893999998</v>
      </c>
      <c r="K880" s="34">
        <f>(C880*1.07964601769)+(-5.6)</f>
        <v>-3.4407079646199996</v>
      </c>
    </row>
    <row r="881" spans="1:11" s="21" customFormat="1" ht="19.95" customHeight="1" x14ac:dyDescent="0.25">
      <c r="A881" s="13" t="str">
        <f>"16431"</f>
        <v>16431</v>
      </c>
      <c r="B881" s="14" t="s">
        <v>1228</v>
      </c>
      <c r="C881" s="13" t="str">
        <f>"14.7"</f>
        <v>14.7</v>
      </c>
      <c r="D881" s="32">
        <f>(C881*1.24778761061)+(0.4)</f>
        <v>18.742477875966998</v>
      </c>
      <c r="E881" s="33">
        <f>(C881*1.16814159292)+(-1)</f>
        <v>16.171681415923999</v>
      </c>
      <c r="F881" s="33">
        <f>(C881*1.1238938053)+(-4.4)</f>
        <v>12.121238937909999</v>
      </c>
      <c r="G881" s="33">
        <f>(C881*1.06194690265)+(-5.9)</f>
        <v>9.7106194689549969</v>
      </c>
      <c r="H881" s="34">
        <f>(C881*1.19469026548)+(0)</f>
        <v>17.561946902555999</v>
      </c>
      <c r="I881" s="34">
        <f>(C881*1.16814159292)+(-2)</f>
        <v>15.171681415923999</v>
      </c>
      <c r="J881" s="34">
        <f>(C881*1.1238938053)+(-3.9)</f>
        <v>12.621238937909999</v>
      </c>
      <c r="K881" s="34">
        <f>(C881*1.07964601769)+(-5.6)</f>
        <v>10.270796460043</v>
      </c>
    </row>
    <row r="882" spans="1:11" s="21" customFormat="1" ht="19.95" customHeight="1" x14ac:dyDescent="0.25">
      <c r="A882" s="13" t="str">
        <f>"1006319"</f>
        <v>1006319</v>
      </c>
      <c r="B882" s="14" t="s">
        <v>1229</v>
      </c>
      <c r="C882" s="13" t="str">
        <f>"32.7"</f>
        <v>32.7</v>
      </c>
      <c r="D882" s="32">
        <f>(C882*1.24778761061)+(0.4)</f>
        <v>41.202654866947007</v>
      </c>
      <c r="E882" s="33">
        <f>(C882*1.16814159292)+(-1)</f>
        <v>37.198230088484003</v>
      </c>
      <c r="F882" s="33">
        <f>(C882*1.1238938053)+(-4.4)</f>
        <v>32.351327433310004</v>
      </c>
      <c r="G882" s="33">
        <f>(C882*1.06194690265)+(-5.9)</f>
        <v>28.825663716655001</v>
      </c>
      <c r="H882" s="34">
        <f>(C882*1.19469026548)+(0)</f>
        <v>39.066371681196003</v>
      </c>
      <c r="I882" s="34">
        <f>(C882*1.16814159292)+(-2)</f>
        <v>36.198230088484003</v>
      </c>
      <c r="J882" s="34">
        <f>(C882*1.1238938053)+(-3.9)</f>
        <v>32.851327433310004</v>
      </c>
      <c r="K882" s="34">
        <f>(C882*1.07964601769)+(-5.6)</f>
        <v>29.704424778463</v>
      </c>
    </row>
    <row r="883" spans="1:11" s="21" customFormat="1" ht="19.95" customHeight="1" x14ac:dyDescent="0.25">
      <c r="A883" s="13" t="str">
        <f>"16432"</f>
        <v>16432</v>
      </c>
      <c r="B883" s="14" t="s">
        <v>1230</v>
      </c>
      <c r="C883" s="13" t="str">
        <f>"16.4"</f>
        <v>16.4</v>
      </c>
      <c r="D883" s="32">
        <f>(C883*1.24778761061)+(0.4)</f>
        <v>20.863716814003997</v>
      </c>
      <c r="E883" s="33">
        <f>(C883*1.16814159292)+(-1)</f>
        <v>18.157522123888</v>
      </c>
      <c r="F883" s="33">
        <f>(C883*1.1238938053)+(-4.4)</f>
        <v>14.03185840692</v>
      </c>
      <c r="G883" s="33">
        <f>(C883*1.06194690265)+(-5.9)</f>
        <v>11.515929203459995</v>
      </c>
      <c r="H883" s="34">
        <f>(C883*1.19469026548)+(0)</f>
        <v>19.592920353872</v>
      </c>
      <c r="I883" s="34">
        <f>(C883*1.16814159292)+(-2)</f>
        <v>17.157522123888</v>
      </c>
      <c r="J883" s="34">
        <f>(C883*1.1238938053)+(-3.9)</f>
        <v>14.53185840692</v>
      </c>
      <c r="K883" s="34">
        <f>(C883*1.07964601769)+(-5.6)</f>
        <v>12.106194690116</v>
      </c>
    </row>
    <row r="884" spans="1:11" s="21" customFormat="1" ht="19.95" customHeight="1" x14ac:dyDescent="0.25">
      <c r="A884" s="13" t="str">
        <f>"16437"</f>
        <v>16437</v>
      </c>
      <c r="B884" s="14" t="s">
        <v>1231</v>
      </c>
      <c r="C884" s="13" t="str">
        <f>"18.4"</f>
        <v>18.4</v>
      </c>
      <c r="D884" s="32">
        <f>(C884*1.24778761061)+(0.4)</f>
        <v>23.359292035223998</v>
      </c>
      <c r="E884" s="33">
        <f>(C884*1.16814159292)+(-1)</f>
        <v>20.493805309728</v>
      </c>
      <c r="F884" s="33">
        <f>(C884*1.1238938053)+(-4.4)</f>
        <v>16.279646017520001</v>
      </c>
      <c r="G884" s="33">
        <f>(C884*1.06194690265)+(-5.9)</f>
        <v>13.639823008759995</v>
      </c>
      <c r="H884" s="34">
        <f>(C884*1.19469026548)+(0)</f>
        <v>21.982300884832</v>
      </c>
      <c r="I884" s="34">
        <f>(C884*1.16814159292)+(-2)</f>
        <v>19.493805309728</v>
      </c>
      <c r="J884" s="34">
        <f>(C884*1.1238938053)+(-3.9)</f>
        <v>16.779646017520001</v>
      </c>
      <c r="K884" s="34">
        <f>(C884*1.07964601769)+(-5.6)</f>
        <v>14.265486725495998</v>
      </c>
    </row>
    <row r="885" spans="1:11" s="21" customFormat="1" ht="19.95" customHeight="1" x14ac:dyDescent="0.25">
      <c r="A885" s="13" t="str">
        <f>"16436"</f>
        <v>16436</v>
      </c>
      <c r="B885" s="14" t="s">
        <v>1232</v>
      </c>
      <c r="C885" s="13" t="str">
        <f>"16.3"</f>
        <v>16.3</v>
      </c>
      <c r="D885" s="32">
        <f>(C885*1.24778761061)+(0.4)</f>
        <v>20.738938052943002</v>
      </c>
      <c r="E885" s="33">
        <f>(C885*1.16814159292)+(-1)</f>
        <v>18.040707964596002</v>
      </c>
      <c r="F885" s="33">
        <f>(C885*1.1238938053)+(-4.4)</f>
        <v>13.919469026390002</v>
      </c>
      <c r="G885" s="33">
        <f>(C885*1.06194690265)+(-5.9)</f>
        <v>11.409734513195</v>
      </c>
      <c r="H885" s="34">
        <f>(C885*1.19469026548)+(0)</f>
        <v>19.473451327324</v>
      </c>
      <c r="I885" s="34">
        <f>(C885*1.16814159292)+(-2)</f>
        <v>17.040707964596002</v>
      </c>
      <c r="J885" s="34">
        <f>(C885*1.1238938053)+(-3.9)</f>
        <v>14.419469026390002</v>
      </c>
      <c r="K885" s="34">
        <f>(C885*1.07964601769)+(-5.6)</f>
        <v>11.998230088347002</v>
      </c>
    </row>
    <row r="886" spans="1:11" s="21" customFormat="1" ht="19.95" customHeight="1" x14ac:dyDescent="0.25">
      <c r="A886" s="13" t="str">
        <f>"16440"</f>
        <v>16440</v>
      </c>
      <c r="B886" s="14" t="s">
        <v>1233</v>
      </c>
      <c r="C886" s="13" t="str">
        <f>"19.6"</f>
        <v>19.6</v>
      </c>
      <c r="D886" s="32">
        <f>(C886*1.24778761061)+(0.4)</f>
        <v>24.856637167956002</v>
      </c>
      <c r="E886" s="33">
        <f>(C886*1.16814159292)+(-1)</f>
        <v>21.895575221232004</v>
      </c>
      <c r="F886" s="33">
        <f>(C886*1.1238938053)+(-4.4)</f>
        <v>17.628318583880002</v>
      </c>
      <c r="G886" s="33">
        <f>(C886*1.06194690265)+(-5.9)</f>
        <v>14.914159291940001</v>
      </c>
      <c r="H886" s="34">
        <f>(C886*1.19469026548)+(0)</f>
        <v>23.415929203408002</v>
      </c>
      <c r="I886" s="34">
        <f>(C886*1.16814159292)+(-2)</f>
        <v>20.895575221232004</v>
      </c>
      <c r="J886" s="34">
        <f>(C886*1.1238938053)+(-3.9)</f>
        <v>18.128318583880002</v>
      </c>
      <c r="K886" s="34">
        <f>(C886*1.07964601769)+(-5.6)</f>
        <v>15.561061946724001</v>
      </c>
    </row>
    <row r="887" spans="1:11" s="21" customFormat="1" ht="19.95" customHeight="1" x14ac:dyDescent="0.25">
      <c r="A887" s="13" t="str">
        <f>"16442"</f>
        <v>16442</v>
      </c>
      <c r="B887" s="14" t="s">
        <v>1234</v>
      </c>
      <c r="C887" s="13" t="str">
        <f>"22.0"</f>
        <v>22.0</v>
      </c>
      <c r="D887" s="32">
        <f>(C887*1.24778761061)+(0.4)</f>
        <v>27.85132743342</v>
      </c>
      <c r="E887" s="33">
        <f>(C887*1.16814159292)+(-1)</f>
        <v>24.699115044240003</v>
      </c>
      <c r="F887" s="33">
        <f>(C887*1.1238938053)+(-4.4)</f>
        <v>20.325663716599998</v>
      </c>
      <c r="G887" s="33">
        <f>(C887*1.06194690265)+(-5.9)</f>
        <v>17.4628318583</v>
      </c>
      <c r="H887" s="34">
        <f>(C887*1.19469026548)+(0)</f>
        <v>26.283185840560002</v>
      </c>
      <c r="I887" s="34">
        <f>(C887*1.16814159292)+(-2)</f>
        <v>23.699115044240003</v>
      </c>
      <c r="J887" s="34">
        <f>(C887*1.1238938053)+(-3.9)</f>
        <v>20.825663716600001</v>
      </c>
      <c r="K887" s="34">
        <f>(C887*1.07964601769)+(-5.6)</f>
        <v>18.152212389180001</v>
      </c>
    </row>
    <row r="888" spans="1:11" s="21" customFormat="1" ht="19.95" customHeight="1" x14ac:dyDescent="0.25">
      <c r="A888" s="13" t="str">
        <f>"20809"</f>
        <v>20809</v>
      </c>
      <c r="B888" s="14" t="s">
        <v>1235</v>
      </c>
      <c r="C888" s="13" t="str">
        <f>"22.2"</f>
        <v>22.2</v>
      </c>
      <c r="D888" s="32">
        <f>(C888*1.24778761061)+(0.4)</f>
        <v>28.100884955542</v>
      </c>
      <c r="E888" s="33">
        <f>(C888*1.16814159292)+(-1)</f>
        <v>24.932743362824002</v>
      </c>
      <c r="F888" s="33">
        <f>(C888*1.1238938053)+(-4.4)</f>
        <v>20.550442477659999</v>
      </c>
      <c r="G888" s="33">
        <f>(C888*1.06194690265)+(-5.9)</f>
        <v>17.675221238829998</v>
      </c>
      <c r="H888" s="34">
        <f>(C888*1.19469026548)+(0)</f>
        <v>26.522123893655998</v>
      </c>
      <c r="I888" s="34">
        <f>(C888*1.16814159292)+(-2)</f>
        <v>23.932743362824002</v>
      </c>
      <c r="J888" s="34">
        <f>(C888*1.1238938053)+(-3.9)</f>
        <v>21.050442477660003</v>
      </c>
      <c r="K888" s="34">
        <f>(C888*1.07964601769)+(-5.6)</f>
        <v>18.368141592717997</v>
      </c>
    </row>
    <row r="889" spans="1:11" s="21" customFormat="1" ht="19.95" customHeight="1" x14ac:dyDescent="0.25">
      <c r="A889" s="13" t="str">
        <f>"40707"</f>
        <v>40707</v>
      </c>
      <c r="B889" s="14" t="s">
        <v>1236</v>
      </c>
      <c r="C889" s="13" t="str">
        <f>"18.6"</f>
        <v>18.6</v>
      </c>
      <c r="D889" s="32">
        <f>(C889*1.24778761061)+(0.4)</f>
        <v>23.608849557346002</v>
      </c>
      <c r="E889" s="33">
        <f>(C889*1.16814159292)+(-1)</f>
        <v>20.727433628312003</v>
      </c>
      <c r="F889" s="33">
        <f>(C889*1.1238938053)+(-4.4)</f>
        <v>16.504424778580002</v>
      </c>
      <c r="G889" s="33">
        <f>(C889*1.06194690265)+(-5.9)</f>
        <v>13.852212389290001</v>
      </c>
      <c r="H889" s="34">
        <f>(C889*1.19469026548)+(0)</f>
        <v>22.221238937928003</v>
      </c>
      <c r="I889" s="34">
        <f>(C889*1.16814159292)+(-2)</f>
        <v>19.727433628312003</v>
      </c>
      <c r="J889" s="34">
        <f>(C889*1.1238938053)+(-3.9)</f>
        <v>17.004424778580002</v>
      </c>
      <c r="K889" s="34">
        <f>(C889*1.07964601769)+(-5.6)</f>
        <v>14.481415929034002</v>
      </c>
    </row>
    <row r="890" spans="1:11" s="21" customFormat="1" ht="19.95" customHeight="1" x14ac:dyDescent="0.25">
      <c r="A890" s="13" t="str">
        <f>"1017654"</f>
        <v>1017654</v>
      </c>
      <c r="B890" s="14" t="s">
        <v>1922</v>
      </c>
      <c r="C890" s="13" t="s">
        <v>76</v>
      </c>
      <c r="D890" s="32" t="s">
        <v>77</v>
      </c>
      <c r="E890" s="33" t="s">
        <v>77</v>
      </c>
      <c r="F890" s="33" t="s">
        <v>77</v>
      </c>
      <c r="G890" s="33" t="s">
        <v>77</v>
      </c>
      <c r="H890" s="34" t="s">
        <v>77</v>
      </c>
      <c r="I890" s="34" t="s">
        <v>77</v>
      </c>
      <c r="J890" s="34" t="s">
        <v>77</v>
      </c>
      <c r="K890" s="34" t="s">
        <v>77</v>
      </c>
    </row>
    <row r="891" spans="1:11" s="21" customFormat="1" ht="19.95" customHeight="1" x14ac:dyDescent="0.25">
      <c r="A891" s="13" t="str">
        <f>"14866"</f>
        <v>14866</v>
      </c>
      <c r="B891" s="14" t="s">
        <v>1237</v>
      </c>
      <c r="C891" s="13" t="str">
        <f>"1.7"</f>
        <v>1.7</v>
      </c>
      <c r="D891" s="32">
        <f>(C891*1.24778761061)+(0.4)</f>
        <v>2.5212389380369999</v>
      </c>
      <c r="E891" s="33">
        <f>(C891*1.16814159292)+(-1)</f>
        <v>0.98584070796400014</v>
      </c>
      <c r="F891" s="33">
        <f>(C891*1.1238938053)+(-4.4)</f>
        <v>-2.4893805309900001</v>
      </c>
      <c r="G891" s="33">
        <f>(C891*1.06194690265)+(-5.9)</f>
        <v>-4.0946902654950001</v>
      </c>
      <c r="H891" s="34">
        <f>(C891*1.19469026548)+(0)</f>
        <v>2.030973451316</v>
      </c>
      <c r="I891" s="34">
        <f>(C891*1.16814159292)+(-2)</f>
        <v>-1.415929203599986E-2</v>
      </c>
      <c r="J891" s="34">
        <f>(C891*1.1238938053)+(-3.9)</f>
        <v>-1.9893805309899999</v>
      </c>
      <c r="K891" s="34">
        <f>(C891*1.07964601769)+(-5.6)</f>
        <v>-3.7646017699269994</v>
      </c>
    </row>
    <row r="892" spans="1:11" s="21" customFormat="1" ht="19.95" customHeight="1" x14ac:dyDescent="0.25">
      <c r="A892" s="13" t="str">
        <f>"1003116"</f>
        <v>1003116</v>
      </c>
      <c r="B892" s="14" t="s">
        <v>1238</v>
      </c>
      <c r="C892" s="13" t="str">
        <f>"20.4"</f>
        <v>20.4</v>
      </c>
      <c r="D892" s="32">
        <f>(C892*1.24778761061)+(0.4)</f>
        <v>25.854867256443999</v>
      </c>
      <c r="E892" s="33">
        <f>(C892*1.16814159292)+(-1)</f>
        <v>22.830088495567999</v>
      </c>
      <c r="F892" s="33">
        <f>(C892*1.1238938053)+(-4.4)</f>
        <v>18.527433628120001</v>
      </c>
      <c r="G892" s="33">
        <f>(C892*1.06194690265)+(-5.9)</f>
        <v>15.763716814059995</v>
      </c>
      <c r="H892" s="34">
        <f>(C892*1.19469026548)+(0)</f>
        <v>24.371681415791997</v>
      </c>
      <c r="I892" s="34">
        <f>(C892*1.16814159292)+(-2)</f>
        <v>21.830088495567999</v>
      </c>
      <c r="J892" s="34">
        <f>(C892*1.1238938053)+(-3.9)</f>
        <v>19.027433628120001</v>
      </c>
      <c r="K892" s="34">
        <f>(C892*1.07964601769)+(-5.6)</f>
        <v>16.424778760876002</v>
      </c>
    </row>
    <row r="893" spans="1:11" s="21" customFormat="1" ht="19.95" customHeight="1" x14ac:dyDescent="0.25">
      <c r="A893" s="13" t="str">
        <f>"54389"</f>
        <v>54389</v>
      </c>
      <c r="B893" s="14" t="s">
        <v>1239</v>
      </c>
      <c r="C893" s="13" t="str">
        <f>"16.2"</f>
        <v>16.2</v>
      </c>
      <c r="D893" s="32">
        <f>(C893*1.24778761061)+(0.4)</f>
        <v>20.614159291882</v>
      </c>
      <c r="E893" s="33">
        <f>(C893*1.16814159292)+(-1)</f>
        <v>17.923893805304001</v>
      </c>
      <c r="F893" s="33">
        <f>(C893*1.1238938053)+(-4.4)</f>
        <v>13.807079645859998</v>
      </c>
      <c r="G893" s="33">
        <f>(C893*1.06194690265)+(-5.9)</f>
        <v>11.303539822929997</v>
      </c>
      <c r="H893" s="34">
        <f>(C893*1.19469026548)+(0)</f>
        <v>19.353982300776</v>
      </c>
      <c r="I893" s="34">
        <f>(C893*1.16814159292)+(-2)</f>
        <v>16.923893805304001</v>
      </c>
      <c r="J893" s="34">
        <f>(C893*1.1238938053)+(-3.9)</f>
        <v>14.307079645859998</v>
      </c>
      <c r="K893" s="34">
        <f>(C893*1.07964601769)+(-5.6)</f>
        <v>11.890265486578</v>
      </c>
    </row>
    <row r="894" spans="1:11" s="21" customFormat="1" ht="19.95" customHeight="1" x14ac:dyDescent="0.25">
      <c r="A894" s="13" t="str">
        <f>"48440"</f>
        <v>48440</v>
      </c>
      <c r="B894" s="14" t="s">
        <v>1240</v>
      </c>
      <c r="C894" s="13" t="str">
        <f>"32.8"</f>
        <v>32.8</v>
      </c>
      <c r="D894" s="32">
        <f>(C894*1.24778761061)+(0.4)</f>
        <v>41.327433628007995</v>
      </c>
      <c r="E894" s="33">
        <f>(C894*1.16814159292)+(-1)</f>
        <v>37.315044247776001</v>
      </c>
      <c r="F894" s="33">
        <f>(C894*1.1238938053)+(-4.4)</f>
        <v>32.463716813840001</v>
      </c>
      <c r="G894" s="33">
        <f>(C894*1.06194690265)+(-5.9)</f>
        <v>28.931858406919993</v>
      </c>
      <c r="H894" s="34">
        <f>(C894*1.19469026548)+(0)</f>
        <v>39.185840707743999</v>
      </c>
      <c r="I894" s="34">
        <f>(C894*1.16814159292)+(-2)</f>
        <v>36.315044247776001</v>
      </c>
      <c r="J894" s="34">
        <f>(C894*1.1238938053)+(-3.9)</f>
        <v>32.963716813840001</v>
      </c>
      <c r="K894" s="34">
        <f>(C894*1.07964601769)+(-5.6)</f>
        <v>29.812389380231998</v>
      </c>
    </row>
    <row r="895" spans="1:11" s="21" customFormat="1" ht="19.95" customHeight="1" x14ac:dyDescent="0.25">
      <c r="A895" s="13" t="str">
        <f>"1015013"</f>
        <v>1015013</v>
      </c>
      <c r="B895" s="14" t="s">
        <v>1241</v>
      </c>
      <c r="C895" s="13" t="str">
        <f>"15.3"</f>
        <v>15.3</v>
      </c>
      <c r="D895" s="32">
        <f>(C895*1.24778761061)+(0.4)</f>
        <v>19.491150442333002</v>
      </c>
      <c r="E895" s="33">
        <f>(C895*1.16814159292)+(-1)</f>
        <v>16.872566371676001</v>
      </c>
      <c r="F895" s="33">
        <f>(C895*1.1238938053)+(-4.4)</f>
        <v>12.795575221090003</v>
      </c>
      <c r="G895" s="33">
        <f>(C895*1.06194690265)+(-5.9)</f>
        <v>10.347787610545</v>
      </c>
      <c r="H895" s="34">
        <f>(C895*1.19469026548)+(0)</f>
        <v>18.278761061844001</v>
      </c>
      <c r="I895" s="34">
        <f>(C895*1.16814159292)+(-2)</f>
        <v>15.872566371676001</v>
      </c>
      <c r="J895" s="34">
        <f>(C895*1.1238938053)+(-3.9)</f>
        <v>13.295575221090003</v>
      </c>
      <c r="K895" s="34">
        <f>(C895*1.07964601769)+(-5.6)</f>
        <v>10.918584070657003</v>
      </c>
    </row>
    <row r="896" spans="1:11" s="21" customFormat="1" ht="19.95" customHeight="1" x14ac:dyDescent="0.25">
      <c r="A896" s="13" t="str">
        <f>"68651"</f>
        <v>68651</v>
      </c>
      <c r="B896" s="14" t="s">
        <v>1242</v>
      </c>
      <c r="C896" s="13" t="str">
        <f>"16.3"</f>
        <v>16.3</v>
      </c>
      <c r="D896" s="32">
        <f>(C896*1.24778761061)+(0.4)</f>
        <v>20.738938052943002</v>
      </c>
      <c r="E896" s="33">
        <f>(C896*1.16814159292)+(-1)</f>
        <v>18.040707964596002</v>
      </c>
      <c r="F896" s="33">
        <f>(C896*1.1238938053)+(-4.4)</f>
        <v>13.919469026390002</v>
      </c>
      <c r="G896" s="33">
        <f>(C896*1.06194690265)+(-5.9)</f>
        <v>11.409734513195</v>
      </c>
      <c r="H896" s="34">
        <f>(C896*1.19469026548)+(0)</f>
        <v>19.473451327324</v>
      </c>
      <c r="I896" s="34">
        <f>(C896*1.16814159292)+(-2)</f>
        <v>17.040707964596002</v>
      </c>
      <c r="J896" s="34">
        <f>(C896*1.1238938053)+(-3.9)</f>
        <v>14.419469026390002</v>
      </c>
      <c r="K896" s="34">
        <f>(C896*1.07964601769)+(-5.6)</f>
        <v>11.998230088347002</v>
      </c>
    </row>
    <row r="897" spans="1:11" s="21" customFormat="1" ht="19.95" customHeight="1" x14ac:dyDescent="0.25">
      <c r="A897" s="13" t="str">
        <f>"74495"</f>
        <v>74495</v>
      </c>
      <c r="B897" s="14" t="s">
        <v>1243</v>
      </c>
      <c r="C897" s="13" t="str">
        <f>"22.8"</f>
        <v>22.8</v>
      </c>
      <c r="D897" s="32">
        <f>(C897*1.24778761061)+(0.4)</f>
        <v>28.849557521908</v>
      </c>
      <c r="E897" s="33">
        <f>(C897*1.16814159292)+(-1)</f>
        <v>25.633628318576001</v>
      </c>
      <c r="F897" s="33">
        <f>(C897*1.1238938053)+(-4.4)</f>
        <v>21.224778760840003</v>
      </c>
      <c r="G897" s="33">
        <f>(C897*1.06194690265)+(-5.9)</f>
        <v>18.312389380420001</v>
      </c>
      <c r="H897" s="34">
        <f>(C897*1.19469026548)+(0)</f>
        <v>27.238938052944</v>
      </c>
      <c r="I897" s="34">
        <f>(C897*1.16814159292)+(-2)</f>
        <v>24.633628318576001</v>
      </c>
      <c r="J897" s="34">
        <f>(C897*1.1238938053)+(-3.9)</f>
        <v>21.724778760840003</v>
      </c>
      <c r="K897" s="34">
        <f>(C897*1.07964601769)+(-5.6)</f>
        <v>19.015929203332</v>
      </c>
    </row>
    <row r="898" spans="1:11" s="21" customFormat="1" ht="19.95" customHeight="1" x14ac:dyDescent="0.25">
      <c r="A898" s="13" t="str">
        <f>"1000321"</f>
        <v>1000321</v>
      </c>
      <c r="B898" s="14" t="s">
        <v>1244</v>
      </c>
      <c r="C898" s="13" t="str">
        <f>"12.4"</f>
        <v>12.4</v>
      </c>
      <c r="D898" s="32">
        <f>(C898*1.24778761061)+(0.4)</f>
        <v>15.872566371564002</v>
      </c>
      <c r="E898" s="33">
        <f>(C898*1.16814159292)+(-1)</f>
        <v>13.484955752208002</v>
      </c>
      <c r="F898" s="33">
        <f>(C898*1.1238938053)+(-4.4)</f>
        <v>9.5362831857200003</v>
      </c>
      <c r="G898" s="33">
        <f>(C898*1.06194690265)+(-5.9)</f>
        <v>7.2681415928599993</v>
      </c>
      <c r="H898" s="34">
        <f>(C898*1.19469026548)+(0)</f>
        <v>14.814159291952</v>
      </c>
      <c r="I898" s="34">
        <f>(C898*1.16814159292)+(-2)</f>
        <v>12.484955752208002</v>
      </c>
      <c r="J898" s="34">
        <f>(C898*1.1238938053)+(-3.9)</f>
        <v>10.03628318572</v>
      </c>
      <c r="K898" s="34">
        <f>(C898*1.07964601769)+(-5.6)</f>
        <v>7.7876106193560002</v>
      </c>
    </row>
    <row r="899" spans="1:11" s="21" customFormat="1" ht="19.95" customHeight="1" x14ac:dyDescent="0.25">
      <c r="A899" s="13" t="str">
        <f>"16456"</f>
        <v>16456</v>
      </c>
      <c r="B899" s="14" t="s">
        <v>1245</v>
      </c>
      <c r="C899" s="13" t="str">
        <f>"21.6"</f>
        <v>21.6</v>
      </c>
      <c r="D899" s="32">
        <f>(C899*1.24778761061)+(0.4)</f>
        <v>27.352212389176003</v>
      </c>
      <c r="E899" s="33">
        <f>(C899*1.16814159292)+(-1)</f>
        <v>24.231858407072004</v>
      </c>
      <c r="F899" s="33">
        <f>(C899*1.1238938053)+(-4.4)</f>
        <v>19.876106194480002</v>
      </c>
      <c r="G899" s="33">
        <f>(C899*1.06194690265)+(-5.9)</f>
        <v>17.038053097240002</v>
      </c>
      <c r="H899" s="34">
        <f>(C899*1.19469026548)+(0)</f>
        <v>25.805309734368002</v>
      </c>
      <c r="I899" s="34">
        <f>(C899*1.16814159292)+(-2)</f>
        <v>23.231858407072004</v>
      </c>
      <c r="J899" s="34">
        <f>(C899*1.1238938053)+(-3.9)</f>
        <v>20.376106194480005</v>
      </c>
      <c r="K899" s="34">
        <f>(C899*1.07964601769)+(-5.6)</f>
        <v>17.720353982104001</v>
      </c>
    </row>
    <row r="900" spans="1:11" s="21" customFormat="1" ht="19.95" customHeight="1" x14ac:dyDescent="0.25">
      <c r="A900" s="13" t="str">
        <f>"74857"</f>
        <v>74857</v>
      </c>
      <c r="B900" s="14" t="s">
        <v>1246</v>
      </c>
      <c r="C900" s="13" t="str">
        <f>"39.2"</f>
        <v>39.2</v>
      </c>
      <c r="D900" s="32">
        <f>(C900*1.24778761061)+(0.4)</f>
        <v>49.313274335912006</v>
      </c>
      <c r="E900" s="33">
        <f>(C900*1.16814159292)+(-1)</f>
        <v>44.791150442464009</v>
      </c>
      <c r="F900" s="33">
        <f>(C900*1.1238938053)+(-4.4)</f>
        <v>39.656637167760003</v>
      </c>
      <c r="G900" s="33">
        <f>(C900*1.06194690265)+(-5.9)</f>
        <v>35.728318583880004</v>
      </c>
      <c r="H900" s="34">
        <f>(C900*1.19469026548)+(0)</f>
        <v>46.831858406816004</v>
      </c>
      <c r="I900" s="34">
        <f>(C900*1.16814159292)+(-2)</f>
        <v>43.791150442464009</v>
      </c>
      <c r="J900" s="34">
        <f>(C900*1.1238938053)+(-3.9)</f>
        <v>40.156637167760003</v>
      </c>
      <c r="K900" s="34">
        <f>(C900*1.07964601769)+(-5.6)</f>
        <v>36.722123893448</v>
      </c>
    </row>
    <row r="901" spans="1:11" s="21" customFormat="1" ht="19.95" customHeight="1" x14ac:dyDescent="0.25">
      <c r="A901" s="13" t="str">
        <f>"70331"</f>
        <v>70331</v>
      </c>
      <c r="B901" s="14" t="s">
        <v>1247</v>
      </c>
      <c r="C901" s="13" t="str">
        <f>"29.8"</f>
        <v>29.8</v>
      </c>
      <c r="D901" s="32">
        <f>(C901*1.24778761061)+(0.4)</f>
        <v>37.584070796178004</v>
      </c>
      <c r="E901" s="33">
        <f>(C901*1.16814159292)+(-1)</f>
        <v>33.810619469016004</v>
      </c>
      <c r="F901" s="33">
        <f>(C901*1.1238938053)+(-4.4)</f>
        <v>29.092035397940002</v>
      </c>
      <c r="G901" s="33">
        <f>(C901*1.06194690265)+(-5.9)</f>
        <v>25.74601769897</v>
      </c>
      <c r="H901" s="34">
        <f>(C901*1.19469026548)+(0)</f>
        <v>35.601769911304004</v>
      </c>
      <c r="I901" s="34">
        <f>(C901*1.16814159292)+(-2)</f>
        <v>32.810619469016004</v>
      </c>
      <c r="J901" s="34">
        <f>(C901*1.1238938053)+(-3.9)</f>
        <v>29.592035397940002</v>
      </c>
      <c r="K901" s="34">
        <f>(C901*1.07964601769)+(-5.6)</f>
        <v>26.573451327161997</v>
      </c>
    </row>
    <row r="902" spans="1:11" s="21" customFormat="1" ht="19.95" customHeight="1" x14ac:dyDescent="0.25">
      <c r="A902" s="13" t="str">
        <f>"16458"</f>
        <v>16458</v>
      </c>
      <c r="B902" s="14" t="s">
        <v>1248</v>
      </c>
      <c r="C902" s="13" t="str">
        <f>"18.2"</f>
        <v>18.2</v>
      </c>
      <c r="D902" s="32">
        <f>(C902*1.24778761061)+(0.4)</f>
        <v>23.109734513101998</v>
      </c>
      <c r="E902" s="33">
        <f>(C902*1.16814159292)+(-1)</f>
        <v>20.260176991144</v>
      </c>
      <c r="F902" s="33">
        <f>(C902*1.1238938053)+(-4.4)</f>
        <v>16.05486725646</v>
      </c>
      <c r="G902" s="33">
        <f>(C902*1.06194690265)+(-5.9)</f>
        <v>13.427433628229997</v>
      </c>
      <c r="H902" s="34">
        <f>(C902*1.19469026548)+(0)</f>
        <v>21.743362831736</v>
      </c>
      <c r="I902" s="34">
        <f>(C902*1.16814159292)+(-2)</f>
        <v>19.260176991144</v>
      </c>
      <c r="J902" s="34">
        <f>(C902*1.1238938053)+(-3.9)</f>
        <v>16.554867256460003</v>
      </c>
      <c r="K902" s="34">
        <f>(C902*1.07964601769)+(-5.6)</f>
        <v>14.049557521957999</v>
      </c>
    </row>
    <row r="903" spans="1:11" s="21" customFormat="1" ht="19.95" customHeight="1" x14ac:dyDescent="0.25">
      <c r="A903" s="13" t="str">
        <f>"40700"</f>
        <v>40700</v>
      </c>
      <c r="B903" s="14" t="s">
        <v>1249</v>
      </c>
      <c r="C903" s="13" t="str">
        <f>"20.6"</f>
        <v>20.6</v>
      </c>
      <c r="D903" s="32">
        <f>(C903*1.24778761061)+(0.4)</f>
        <v>26.104424778566003</v>
      </c>
      <c r="E903" s="33">
        <f>(C903*1.16814159292)+(-1)</f>
        <v>23.063716814152002</v>
      </c>
      <c r="F903" s="33">
        <f>(C903*1.1238938053)+(-4.4)</f>
        <v>18.752212389180002</v>
      </c>
      <c r="G903" s="33">
        <f>(C903*1.06194690265)+(-5.9)</f>
        <v>15.976106194590001</v>
      </c>
      <c r="H903" s="34">
        <f>(C903*1.19469026548)+(0)</f>
        <v>24.610619468888</v>
      </c>
      <c r="I903" s="34">
        <f>(C903*1.16814159292)+(-2)</f>
        <v>22.063716814152002</v>
      </c>
      <c r="J903" s="34">
        <f>(C903*1.1238938053)+(-3.9)</f>
        <v>19.252212389180006</v>
      </c>
      <c r="K903" s="34">
        <f>(C903*1.07964601769)+(-5.6)</f>
        <v>16.640707964414005</v>
      </c>
    </row>
    <row r="904" spans="1:11" s="21" customFormat="1" ht="19.95" customHeight="1" x14ac:dyDescent="0.25">
      <c r="A904" s="13" t="str">
        <f>"48668"</f>
        <v>48668</v>
      </c>
      <c r="B904" s="14" t="s">
        <v>1250</v>
      </c>
      <c r="C904" s="13" t="str">
        <f>"+2.0"</f>
        <v>+2.0</v>
      </c>
      <c r="D904" s="32">
        <f>(C904*1.24778761061)+(0.4)</f>
        <v>2.8955752212200001</v>
      </c>
      <c r="E904" s="33">
        <f>(C904*1.16814159292)+(-1)</f>
        <v>1.3362831858400002</v>
      </c>
      <c r="F904" s="33">
        <f>(C904*1.1238938053)+(-4.4)</f>
        <v>-2.1522123894000003</v>
      </c>
      <c r="G904" s="33">
        <f>(C904*1.06194690265)+(-5.9)</f>
        <v>-3.7761061947000005</v>
      </c>
      <c r="H904" s="34">
        <f>(C904*1.19469026548)+(0)</f>
        <v>2.38938053096</v>
      </c>
      <c r="I904" s="34">
        <f>(C904*1.16814159292)+(-2)</f>
        <v>0.33628318584000017</v>
      </c>
      <c r="J904" s="34">
        <f>(C904*1.1238938053)+(-3.9)</f>
        <v>-1.6522123893999998</v>
      </c>
      <c r="K904" s="34">
        <f>(C904*1.07964601769)+(-5.6)</f>
        <v>-3.4407079646199996</v>
      </c>
    </row>
    <row r="905" spans="1:11" s="21" customFormat="1" ht="19.95" customHeight="1" x14ac:dyDescent="0.25">
      <c r="A905" s="13" t="str">
        <f>"8359"</f>
        <v>8359</v>
      </c>
      <c r="B905" s="14" t="s">
        <v>1251</v>
      </c>
      <c r="C905" s="13" t="str">
        <f>"29.1000"</f>
        <v>29.1000</v>
      </c>
      <c r="D905" s="32">
        <f>(C905*1.24778761061)+(0.4)</f>
        <v>36.710619468751005</v>
      </c>
      <c r="E905" s="33">
        <f>(C905*1.16814159292)+(-1)</f>
        <v>32.992920353972004</v>
      </c>
      <c r="F905" s="33">
        <f>(C905*1.1238938053)+(-4.4)</f>
        <v>28.305309734230008</v>
      </c>
      <c r="G905" s="33">
        <f>(C905*1.06194690265)+(-5.9)</f>
        <v>25.002654867114998</v>
      </c>
      <c r="H905" s="34">
        <f>(C905*1.19469026548)+(0)</f>
        <v>34.765486725468001</v>
      </c>
      <c r="I905" s="34">
        <f>(C905*1.16814159292)+(-2)</f>
        <v>31.992920353972004</v>
      </c>
      <c r="J905" s="34">
        <f>(C905*1.1238938053)+(-3.9)</f>
        <v>28.805309734230008</v>
      </c>
      <c r="K905" s="34">
        <f>(C905*1.07964601769)+(-5.6)</f>
        <v>25.817699114779003</v>
      </c>
    </row>
    <row r="906" spans="1:11" s="21" customFormat="1" ht="19.95" customHeight="1" x14ac:dyDescent="0.25">
      <c r="A906" s="13" t="str">
        <f>"16465"</f>
        <v>16465</v>
      </c>
      <c r="B906" s="14" t="s">
        <v>1252</v>
      </c>
      <c r="C906" s="13" t="str">
        <f>"13.6"</f>
        <v>13.6</v>
      </c>
      <c r="D906" s="32">
        <f>(C906*1.24778761061)+(0.4)</f>
        <v>17.369911504295999</v>
      </c>
      <c r="E906" s="33">
        <f>(C906*1.16814159292)+(-1)</f>
        <v>14.886725663712001</v>
      </c>
      <c r="F906" s="33">
        <f>(C906*1.1238938053)+(-4.4)</f>
        <v>10.88495575208</v>
      </c>
      <c r="G906" s="33">
        <f>(C906*1.06194690265)+(-5.9)</f>
        <v>8.5424778760399978</v>
      </c>
      <c r="H906" s="34">
        <f>(C906*1.19469026548)+(0)</f>
        <v>16.247787610528</v>
      </c>
      <c r="I906" s="34">
        <f>(C906*1.16814159292)+(-2)</f>
        <v>13.886725663712001</v>
      </c>
      <c r="J906" s="34">
        <f>(C906*1.1238938053)+(-3.9)</f>
        <v>11.38495575208</v>
      </c>
      <c r="K906" s="34">
        <f>(C906*1.07964601769)+(-5.6)</f>
        <v>9.0831858405840009</v>
      </c>
    </row>
    <row r="907" spans="1:11" s="21" customFormat="1" ht="19.95" customHeight="1" x14ac:dyDescent="0.25">
      <c r="A907" s="13" t="str">
        <f>"37464"</f>
        <v>37464</v>
      </c>
      <c r="B907" s="14" t="s">
        <v>1253</v>
      </c>
      <c r="C907" s="13" t="str">
        <f>"11.8"</f>
        <v>11.8</v>
      </c>
      <c r="D907" s="32">
        <f>(C907*1.24778761061)+(0.4)</f>
        <v>15.123893805198003</v>
      </c>
      <c r="E907" s="33">
        <f>(C907*1.16814159292)+(-1)</f>
        <v>12.784070796456001</v>
      </c>
      <c r="F907" s="33">
        <f>(C907*1.1238938053)+(-4.4)</f>
        <v>8.8619469025400015</v>
      </c>
      <c r="G907" s="33">
        <f>(C907*1.06194690265)+(-5.9)</f>
        <v>6.63097345127</v>
      </c>
      <c r="H907" s="34">
        <f>(C907*1.19469026548)+(0)</f>
        <v>14.097345132664001</v>
      </c>
      <c r="I907" s="34">
        <f>(C907*1.16814159292)+(-2)</f>
        <v>11.784070796456001</v>
      </c>
      <c r="J907" s="34">
        <f>(C907*1.1238938053)+(-3.9)</f>
        <v>9.3619469025400015</v>
      </c>
      <c r="K907" s="34">
        <f>(C907*1.07964601769)+(-5.6)</f>
        <v>7.1398230087420007</v>
      </c>
    </row>
    <row r="908" spans="1:11" s="21" customFormat="1" ht="19.95" customHeight="1" x14ac:dyDescent="0.25">
      <c r="A908" s="13" t="str">
        <f>"40562"</f>
        <v>40562</v>
      </c>
      <c r="B908" s="14" t="s">
        <v>1254</v>
      </c>
      <c r="C908" s="13" t="str">
        <f>"16.0"</f>
        <v>16.0</v>
      </c>
      <c r="D908" s="32">
        <f>(C908*1.24778761061)+(0.4)</f>
        <v>20.36460176976</v>
      </c>
      <c r="E908" s="33">
        <f>(C908*1.16814159292)+(-1)</f>
        <v>17.690265486720001</v>
      </c>
      <c r="F908" s="33">
        <f>(C908*1.1238938053)+(-4.4)</f>
        <v>13.5823008848</v>
      </c>
      <c r="G908" s="33">
        <f>(C908*1.06194690265)+(-5.9)</f>
        <v>11.091150442399998</v>
      </c>
      <c r="H908" s="34">
        <f>(C908*1.19469026548)+(0)</f>
        <v>19.11504424768</v>
      </c>
      <c r="I908" s="34">
        <f>(C908*1.16814159292)+(-2)</f>
        <v>16.690265486720001</v>
      </c>
      <c r="J908" s="34">
        <f>(C908*1.1238938053)+(-3.9)</f>
        <v>14.0823008848</v>
      </c>
      <c r="K908" s="34">
        <f>(C908*1.07964601769)+(-5.6)</f>
        <v>11.674336283040001</v>
      </c>
    </row>
    <row r="909" spans="1:11" s="21" customFormat="1" ht="19.95" customHeight="1" x14ac:dyDescent="0.25">
      <c r="A909" s="13" t="str">
        <f>"16471"</f>
        <v>16471</v>
      </c>
      <c r="B909" s="14" t="s">
        <v>1255</v>
      </c>
      <c r="C909" s="13" t="str">
        <f>"21.6"</f>
        <v>21.6</v>
      </c>
      <c r="D909" s="32">
        <f>(C909*1.24778761061)+(0.4)</f>
        <v>27.352212389176003</v>
      </c>
      <c r="E909" s="33">
        <f>(C909*1.16814159292)+(-1)</f>
        <v>24.231858407072004</v>
      </c>
      <c r="F909" s="33">
        <f>(C909*1.1238938053)+(-4.4)</f>
        <v>19.876106194480002</v>
      </c>
      <c r="G909" s="33">
        <f>(C909*1.06194690265)+(-5.9)</f>
        <v>17.038053097240002</v>
      </c>
      <c r="H909" s="34">
        <f>(C909*1.19469026548)+(0)</f>
        <v>25.805309734368002</v>
      </c>
      <c r="I909" s="34">
        <f>(C909*1.16814159292)+(-2)</f>
        <v>23.231858407072004</v>
      </c>
      <c r="J909" s="34">
        <f>(C909*1.1238938053)+(-3.9)</f>
        <v>20.376106194480005</v>
      </c>
      <c r="K909" s="34">
        <f>(C909*1.07964601769)+(-5.6)</f>
        <v>17.720353982104001</v>
      </c>
    </row>
    <row r="910" spans="1:11" s="21" customFormat="1" ht="19.95" customHeight="1" x14ac:dyDescent="0.25">
      <c r="A910" s="13" t="str">
        <f>"16472"</f>
        <v>16472</v>
      </c>
      <c r="B910" s="14" t="s">
        <v>1256</v>
      </c>
      <c r="C910" s="13" t="str">
        <f>"15.6"</f>
        <v>15.6</v>
      </c>
      <c r="D910" s="32">
        <f>(C910*1.24778761061)+(0.4)</f>
        <v>19.865486725516</v>
      </c>
      <c r="E910" s="33">
        <f>(C910*1.16814159292)+(-1)</f>
        <v>17.223008849552002</v>
      </c>
      <c r="F910" s="33">
        <f>(C910*1.1238938053)+(-4.4)</f>
        <v>13.132743362680001</v>
      </c>
      <c r="G910" s="33">
        <f>(C910*1.06194690265)+(-5.9)</f>
        <v>10.666371681339998</v>
      </c>
      <c r="H910" s="34">
        <f>(C910*1.19469026548)+(0)</f>
        <v>18.637168141488001</v>
      </c>
      <c r="I910" s="34">
        <f>(C910*1.16814159292)+(-2)</f>
        <v>16.223008849552002</v>
      </c>
      <c r="J910" s="34">
        <f>(C910*1.1238938053)+(-3.9)</f>
        <v>13.632743362680001</v>
      </c>
      <c r="K910" s="34">
        <f>(C910*1.07964601769)+(-5.6)</f>
        <v>11.242477875964001</v>
      </c>
    </row>
    <row r="911" spans="1:11" s="21" customFormat="1" ht="19.95" customHeight="1" x14ac:dyDescent="0.25">
      <c r="A911" s="13" t="str">
        <f>"68180"</f>
        <v>68180</v>
      </c>
      <c r="B911" s="14" t="s">
        <v>1257</v>
      </c>
      <c r="C911" s="13" t="str">
        <f>"7.5"</f>
        <v>7.5</v>
      </c>
      <c r="D911" s="32">
        <f>(C911*1.24778761061)+(0.4)</f>
        <v>9.7584070795750009</v>
      </c>
      <c r="E911" s="33">
        <f>(C911*1.16814159292)+(-1)</f>
        <v>7.7610619469</v>
      </c>
      <c r="F911" s="33">
        <f>(C911*1.1238938053)+(-4.4)</f>
        <v>4.0292035397500001</v>
      </c>
      <c r="G911" s="33">
        <f>(C911*1.06194690265)+(-5.9)</f>
        <v>2.064601769874999</v>
      </c>
      <c r="H911" s="34">
        <f>(C911*1.19469026548)+(0)</f>
        <v>8.9601769911000009</v>
      </c>
      <c r="I911" s="34">
        <f>(C911*1.16814159292)+(-2)</f>
        <v>6.7610619469</v>
      </c>
      <c r="J911" s="34">
        <f>(C911*1.1238938053)+(-3.9)</f>
        <v>4.5292035397500001</v>
      </c>
      <c r="K911" s="34">
        <f>(C911*1.07964601769)+(-5.6)</f>
        <v>2.4973451326750009</v>
      </c>
    </row>
    <row r="912" spans="1:11" s="21" customFormat="1" ht="19.95" customHeight="1" x14ac:dyDescent="0.25">
      <c r="A912" s="13" t="str">
        <f>"81351"</f>
        <v>81351</v>
      </c>
      <c r="B912" s="14" t="s">
        <v>1258</v>
      </c>
      <c r="C912" s="13" t="str">
        <f>"20.7"</f>
        <v>20.7</v>
      </c>
      <c r="D912" s="32">
        <f>(C912*1.24778761061)+(0.4)</f>
        <v>26.229203539627001</v>
      </c>
      <c r="E912" s="33">
        <f>(C912*1.16814159292)+(-1)</f>
        <v>23.180530973444</v>
      </c>
      <c r="F912" s="33">
        <f>(C912*1.1238938053)+(-4.4)</f>
        <v>18.864601769709999</v>
      </c>
      <c r="G912" s="33">
        <f>(C912*1.06194690265)+(-5.9)</f>
        <v>16.082300884854995</v>
      </c>
      <c r="H912" s="34">
        <f>(C912*1.19469026548)+(0)</f>
        <v>24.730088495436</v>
      </c>
      <c r="I912" s="34">
        <f>(C912*1.16814159292)+(-2)</f>
        <v>22.180530973444</v>
      </c>
      <c r="J912" s="34">
        <f>(C912*1.1238938053)+(-3.9)</f>
        <v>19.364601769710003</v>
      </c>
      <c r="K912" s="34">
        <f>(C912*1.07964601769)+(-5.6)</f>
        <v>16.748672566182996</v>
      </c>
    </row>
    <row r="913" spans="1:11" s="21" customFormat="1" ht="19.95" customHeight="1" x14ac:dyDescent="0.25">
      <c r="A913" s="13" t="str">
        <f>"49414"</f>
        <v>49414</v>
      </c>
      <c r="B913" s="14" t="s">
        <v>1259</v>
      </c>
      <c r="C913" s="13" t="str">
        <f>"13.0"</f>
        <v>13.0</v>
      </c>
      <c r="D913" s="32">
        <f>(C913*1.24778761061)+(0.4)</f>
        <v>16.621238937929999</v>
      </c>
      <c r="E913" s="33">
        <f>(C913*1.16814159292)+(-1)</f>
        <v>14.185840707960001</v>
      </c>
      <c r="F913" s="33">
        <f>(C913*1.1238938053)+(-4.4)</f>
        <v>10.210619468900001</v>
      </c>
      <c r="G913" s="33">
        <f>(C913*1.06194690265)+(-5.9)</f>
        <v>7.9053097344499985</v>
      </c>
      <c r="H913" s="34">
        <f>(C913*1.19469026548)+(0)</f>
        <v>15.53097345124</v>
      </c>
      <c r="I913" s="34">
        <f>(C913*1.16814159292)+(-2)</f>
        <v>13.185840707960001</v>
      </c>
      <c r="J913" s="34">
        <f>(C913*1.1238938053)+(-3.9)</f>
        <v>10.710619468900001</v>
      </c>
      <c r="K913" s="34">
        <f>(C913*1.07964601769)+(-5.6)</f>
        <v>8.4353982299699997</v>
      </c>
    </row>
    <row r="914" spans="1:11" s="21" customFormat="1" ht="19.95" customHeight="1" x14ac:dyDescent="0.25">
      <c r="A914" s="13" t="str">
        <f>"16478"</f>
        <v>16478</v>
      </c>
      <c r="B914" s="14" t="s">
        <v>1260</v>
      </c>
      <c r="C914" s="13" t="str">
        <f>"21.0"</f>
        <v>21.0</v>
      </c>
      <c r="D914" s="32">
        <f>(C914*1.24778761061)+(0.4)</f>
        <v>26.603539822809999</v>
      </c>
      <c r="E914" s="33">
        <f>(C914*1.16814159292)+(-1)</f>
        <v>23.530973451320001</v>
      </c>
      <c r="F914" s="33">
        <f>(C914*1.1238938053)+(-4.4)</f>
        <v>19.201769911299998</v>
      </c>
      <c r="G914" s="33">
        <f>(C914*1.06194690265)+(-5.9)</f>
        <v>16.40088495565</v>
      </c>
      <c r="H914" s="34">
        <f>(C914*1.19469026548)+(0)</f>
        <v>25.08849557508</v>
      </c>
      <c r="I914" s="34">
        <f>(C914*1.16814159292)+(-2)</f>
        <v>22.530973451320001</v>
      </c>
      <c r="J914" s="34">
        <f>(C914*1.1238938053)+(-3.9)</f>
        <v>19.701769911300001</v>
      </c>
      <c r="K914" s="34">
        <f>(C914*1.07964601769)+(-5.6)</f>
        <v>17.072566371489998</v>
      </c>
    </row>
    <row r="915" spans="1:11" s="21" customFormat="1" ht="19.95" customHeight="1" x14ac:dyDescent="0.25">
      <c r="A915" s="13" t="str">
        <f>"23394"</f>
        <v>23394</v>
      </c>
      <c r="B915" s="14" t="s">
        <v>1261</v>
      </c>
      <c r="C915" s="13" t="str">
        <f>"26.0"</f>
        <v>26.0</v>
      </c>
      <c r="D915" s="32">
        <f>(C915*1.24778761061)+(0.4)</f>
        <v>32.842477875859998</v>
      </c>
      <c r="E915" s="33">
        <f>(C915*1.16814159292)+(-1)</f>
        <v>29.371681415920001</v>
      </c>
      <c r="F915" s="33">
        <f>(C915*1.1238938053)+(-4.4)</f>
        <v>24.821238937800004</v>
      </c>
      <c r="G915" s="33">
        <f>(C915*1.06194690265)+(-5.9)</f>
        <v>21.710619468899999</v>
      </c>
      <c r="H915" s="34">
        <f>(C915*1.19469026548)+(0)</f>
        <v>31.061946902479999</v>
      </c>
      <c r="I915" s="34">
        <f>(C915*1.16814159292)+(-2)</f>
        <v>28.371681415920001</v>
      </c>
      <c r="J915" s="34">
        <f>(C915*1.1238938053)+(-3.9)</f>
        <v>25.321238937800004</v>
      </c>
      <c r="K915" s="34">
        <f>(C915*1.07964601769)+(-5.6)</f>
        <v>22.470796459939997</v>
      </c>
    </row>
    <row r="916" spans="1:11" s="21" customFormat="1" ht="19.95" customHeight="1" x14ac:dyDescent="0.25">
      <c r="A916" s="13" t="str">
        <f>"16477"</f>
        <v>16477</v>
      </c>
      <c r="B916" s="14" t="s">
        <v>1262</v>
      </c>
      <c r="C916" s="13" t="str">
        <f>"15.4"</f>
        <v>15.4</v>
      </c>
      <c r="D916" s="32">
        <f>(C916*1.24778761061)+(0.4)</f>
        <v>19.615929203394</v>
      </c>
      <c r="E916" s="33">
        <f>(C916*1.16814159292)+(-1)</f>
        <v>16.989380530968003</v>
      </c>
      <c r="F916" s="33">
        <f>(C916*1.1238938053)+(-4.4)</f>
        <v>12.90796460162</v>
      </c>
      <c r="G916" s="33">
        <f>(C916*1.06194690265)+(-5.9)</f>
        <v>10.453982300809999</v>
      </c>
      <c r="H916" s="34">
        <f>(C916*1.19469026548)+(0)</f>
        <v>18.398230088392001</v>
      </c>
      <c r="I916" s="34">
        <f>(C916*1.16814159292)+(-2)</f>
        <v>15.989380530968003</v>
      </c>
      <c r="J916" s="34">
        <f>(C916*1.1238938053)+(-3.9)</f>
        <v>13.40796460162</v>
      </c>
      <c r="K916" s="34">
        <f>(C916*1.07964601769)+(-5.6)</f>
        <v>11.026548672426001</v>
      </c>
    </row>
    <row r="917" spans="1:11" s="21" customFormat="1" ht="19.95" customHeight="1" x14ac:dyDescent="0.25">
      <c r="A917" s="13" t="str">
        <f>"16481"</f>
        <v>16481</v>
      </c>
      <c r="B917" s="14" t="s">
        <v>1263</v>
      </c>
      <c r="C917" s="13" t="str">
        <f>"34.4"</f>
        <v>34.4</v>
      </c>
      <c r="D917" s="32">
        <f>(C917*1.24778761061)+(0.4)</f>
        <v>43.323893804984003</v>
      </c>
      <c r="E917" s="33">
        <f>(C917*1.16814159292)+(-1)</f>
        <v>39.184070796448005</v>
      </c>
      <c r="F917" s="33">
        <f>(C917*1.1238938053)+(-4.4)</f>
        <v>34.261946902319998</v>
      </c>
      <c r="G917" s="33">
        <f>(C917*1.06194690265)+(-5.9)</f>
        <v>30.630973451159996</v>
      </c>
      <c r="H917" s="34">
        <f>(C917*1.19469026548)+(0)</f>
        <v>41.097345132511997</v>
      </c>
      <c r="I917" s="34">
        <f>(C917*1.16814159292)+(-2)</f>
        <v>38.184070796448005</v>
      </c>
      <c r="J917" s="34">
        <f>(C917*1.1238938053)+(-3.9)</f>
        <v>34.761946902319998</v>
      </c>
      <c r="K917" s="34">
        <f>(C917*1.07964601769)+(-5.6)</f>
        <v>31.539823008535997</v>
      </c>
    </row>
    <row r="918" spans="1:11" s="21" customFormat="1" ht="19.95" customHeight="1" x14ac:dyDescent="0.25">
      <c r="A918" s="13" t="str">
        <f>"16482"</f>
        <v>16482</v>
      </c>
      <c r="B918" s="14" t="s">
        <v>1264</v>
      </c>
      <c r="C918" s="13" t="str">
        <f>"29.1"</f>
        <v>29.1</v>
      </c>
      <c r="D918" s="32">
        <f>(C918*1.24778761061)+(0.4)</f>
        <v>36.710619468751005</v>
      </c>
      <c r="E918" s="33">
        <f>(C918*1.16814159292)+(-1)</f>
        <v>32.992920353972004</v>
      </c>
      <c r="F918" s="33">
        <f>(C918*1.1238938053)+(-4.4)</f>
        <v>28.305309734230008</v>
      </c>
      <c r="G918" s="33">
        <f>(C918*1.06194690265)+(-5.9)</f>
        <v>25.002654867114998</v>
      </c>
      <c r="H918" s="34">
        <f>(C918*1.19469026548)+(0)</f>
        <v>34.765486725468001</v>
      </c>
      <c r="I918" s="34">
        <f>(C918*1.16814159292)+(-2)</f>
        <v>31.992920353972004</v>
      </c>
      <c r="J918" s="34">
        <f>(C918*1.1238938053)+(-3.9)</f>
        <v>28.805309734230008</v>
      </c>
      <c r="K918" s="34">
        <f>(C918*1.07964601769)+(-5.6)</f>
        <v>25.817699114779003</v>
      </c>
    </row>
    <row r="919" spans="1:11" s="21" customFormat="1" ht="19.95" customHeight="1" x14ac:dyDescent="0.25">
      <c r="A919" s="13" t="str">
        <f>"70801"</f>
        <v>70801</v>
      </c>
      <c r="B919" s="14" t="s">
        <v>1265</v>
      </c>
      <c r="C919" s="13" t="str">
        <f>"23.4"</f>
        <v>23.4</v>
      </c>
      <c r="D919" s="32">
        <f>(C919*1.24778761061)+(0.4)</f>
        <v>29.598230088274001</v>
      </c>
      <c r="E919" s="33">
        <f>(C919*1.16814159292)+(-1)</f>
        <v>26.334513274328</v>
      </c>
      <c r="F919" s="33">
        <f>(C919*1.1238938053)+(-4.4)</f>
        <v>21.89911504402</v>
      </c>
      <c r="G919" s="33">
        <f>(C919*1.06194690265)+(-5.9)</f>
        <v>18.949557522009997</v>
      </c>
      <c r="H919" s="34">
        <f>(C919*1.19469026548)+(0)</f>
        <v>27.955752212231999</v>
      </c>
      <c r="I919" s="34">
        <f>(C919*1.16814159292)+(-2)</f>
        <v>25.334513274328</v>
      </c>
      <c r="J919" s="34">
        <f>(C919*1.1238938053)+(-3.9)</f>
        <v>22.39911504402</v>
      </c>
      <c r="K919" s="34">
        <f>(C919*1.07964601769)+(-5.6)</f>
        <v>19.663716813945996</v>
      </c>
    </row>
    <row r="920" spans="1:11" s="21" customFormat="1" ht="19.95" customHeight="1" x14ac:dyDescent="0.25">
      <c r="A920" s="13" t="str">
        <f>"16484"</f>
        <v>16484</v>
      </c>
      <c r="B920" s="14" t="s">
        <v>1266</v>
      </c>
      <c r="C920" s="13" t="str">
        <f>"19.7"</f>
        <v>19.7</v>
      </c>
      <c r="D920" s="32">
        <f>(C920*1.24778761061)+(0.4)</f>
        <v>24.981415929017</v>
      </c>
      <c r="E920" s="33">
        <f>(C920*1.16814159292)+(-1)</f>
        <v>22.012389380524002</v>
      </c>
      <c r="F920" s="33">
        <f>(C920*1.1238938053)+(-4.4)</f>
        <v>17.740707964409999</v>
      </c>
      <c r="G920" s="33">
        <f>(C920*1.06194690265)+(-5.9)</f>
        <v>15.020353982204997</v>
      </c>
      <c r="H920" s="34">
        <f>(C920*1.19469026548)+(0)</f>
        <v>23.535398229955998</v>
      </c>
      <c r="I920" s="34">
        <f>(C920*1.16814159292)+(-2)</f>
        <v>21.012389380524002</v>
      </c>
      <c r="J920" s="34">
        <f>(C920*1.1238938053)+(-3.9)</f>
        <v>18.240707964410003</v>
      </c>
      <c r="K920" s="34">
        <f>(C920*1.07964601769)+(-5.6)</f>
        <v>15.669026548492999</v>
      </c>
    </row>
    <row r="921" spans="1:11" s="21" customFormat="1" ht="19.95" customHeight="1" x14ac:dyDescent="0.25">
      <c r="A921" s="13" t="str">
        <f>"1001037"</f>
        <v>1001037</v>
      </c>
      <c r="B921" s="14" t="s">
        <v>1267</v>
      </c>
      <c r="C921" s="13" t="str">
        <f>"17.7"</f>
        <v>17.7</v>
      </c>
      <c r="D921" s="32">
        <f>(C921*1.24778761061)+(0.4)</f>
        <v>22.485840707796999</v>
      </c>
      <c r="E921" s="33">
        <f>(C921*1.16814159292)+(-1)</f>
        <v>19.676106194683999</v>
      </c>
      <c r="F921" s="33">
        <f>(C921*1.1238938053)+(-4.4)</f>
        <v>15.492920353809998</v>
      </c>
      <c r="G921" s="33">
        <f>(C921*1.06194690265)+(-5.9)</f>
        <v>12.896460176904997</v>
      </c>
      <c r="H921" s="34">
        <f>(C921*1.19469026548)+(0)</f>
        <v>21.146017698996001</v>
      </c>
      <c r="I921" s="34">
        <f>(C921*1.16814159292)+(-2)</f>
        <v>18.676106194683999</v>
      </c>
      <c r="J921" s="34">
        <f>(C921*1.1238938053)+(-3.9)</f>
        <v>15.992920353809998</v>
      </c>
      <c r="K921" s="34">
        <f>(C921*1.07964601769)+(-5.6)</f>
        <v>13.509734513113001</v>
      </c>
    </row>
    <row r="922" spans="1:11" s="21" customFormat="1" ht="19.95" customHeight="1" x14ac:dyDescent="0.25">
      <c r="A922" s="13" t="str">
        <f>"41545"</f>
        <v>41545</v>
      </c>
      <c r="B922" s="14" t="s">
        <v>1268</v>
      </c>
      <c r="C922" s="13" t="str">
        <f>"8.6"</f>
        <v>8.6</v>
      </c>
      <c r="D922" s="32">
        <f>(C922*1.24778761061)+(0.4)</f>
        <v>11.130973451246001</v>
      </c>
      <c r="E922" s="33">
        <f>(C922*1.16814159292)+(-1)</f>
        <v>9.0460176991120012</v>
      </c>
      <c r="F922" s="33">
        <f>(C922*1.1238938053)+(-4.4)</f>
        <v>5.2654867255799989</v>
      </c>
      <c r="G922" s="33">
        <f>(C922*1.06194690265)+(-5.9)</f>
        <v>3.2327433627899982</v>
      </c>
      <c r="H922" s="34">
        <f>(C922*1.19469026548)+(0)</f>
        <v>10.274336283127999</v>
      </c>
      <c r="I922" s="34">
        <f>(C922*1.16814159292)+(-2)</f>
        <v>8.0460176991120012</v>
      </c>
      <c r="J922" s="34">
        <f>(C922*1.1238938053)+(-3.9)</f>
        <v>5.7654867255799989</v>
      </c>
      <c r="K922" s="34">
        <f>(C922*1.07964601769)+(-5.6)</f>
        <v>3.684955752134</v>
      </c>
    </row>
    <row r="923" spans="1:11" s="21" customFormat="1" ht="19.95" customHeight="1" x14ac:dyDescent="0.25">
      <c r="A923" s="13" t="str">
        <f>"81058"</f>
        <v>81058</v>
      </c>
      <c r="B923" s="14" t="s">
        <v>1269</v>
      </c>
      <c r="C923" s="13" t="str">
        <f>"16.8"</f>
        <v>16.8</v>
      </c>
      <c r="D923" s="32">
        <f>(C923*1.24778761061)+(0.4)</f>
        <v>21.362831858248001</v>
      </c>
      <c r="E923" s="33">
        <f>(C923*1.16814159292)+(-1)</f>
        <v>18.624778761056003</v>
      </c>
      <c r="F923" s="33">
        <f>(C923*1.1238938053)+(-4.4)</f>
        <v>14.481415929040002</v>
      </c>
      <c r="G923" s="33">
        <f>(C923*1.06194690265)+(-5.9)</f>
        <v>11.94070796452</v>
      </c>
      <c r="H923" s="34">
        <f>(C923*1.19469026548)+(0)</f>
        <v>20.070796460064003</v>
      </c>
      <c r="I923" s="34">
        <f>(C923*1.16814159292)+(-2)</f>
        <v>17.624778761056003</v>
      </c>
      <c r="J923" s="34">
        <f>(C923*1.1238938053)+(-3.9)</f>
        <v>14.981415929040002</v>
      </c>
      <c r="K923" s="34">
        <f>(C923*1.07964601769)+(-5.6)</f>
        <v>12.538053097192</v>
      </c>
    </row>
    <row r="924" spans="1:11" s="21" customFormat="1" ht="19.95" customHeight="1" x14ac:dyDescent="0.25">
      <c r="A924" s="13" t="str">
        <f>"1008267"</f>
        <v>1008267</v>
      </c>
      <c r="B924" s="14" t="s">
        <v>1270</v>
      </c>
      <c r="C924" s="13" t="str">
        <f>"18.1"</f>
        <v>18.1</v>
      </c>
      <c r="D924" s="32">
        <f>(C924*1.24778761061)+(0.4)</f>
        <v>22.984955752041003</v>
      </c>
      <c r="E924" s="33">
        <f>(C924*1.16814159292)+(-1)</f>
        <v>20.143362831852002</v>
      </c>
      <c r="F924" s="33">
        <f>(C924*1.1238938053)+(-4.4)</f>
        <v>15.942477875930001</v>
      </c>
      <c r="G924" s="33">
        <f>(C924*1.06194690265)+(-5.9)</f>
        <v>13.321238937965001</v>
      </c>
      <c r="H924" s="34">
        <f>(C924*1.19469026548)+(0)</f>
        <v>21.623893805188001</v>
      </c>
      <c r="I924" s="34">
        <f>(C924*1.16814159292)+(-2)</f>
        <v>19.143362831852002</v>
      </c>
      <c r="J924" s="34">
        <f>(C924*1.1238938053)+(-3.9)</f>
        <v>16.442477875930003</v>
      </c>
      <c r="K924" s="34">
        <f>(C924*1.07964601769)+(-5.6)</f>
        <v>13.941592920189001</v>
      </c>
    </row>
    <row r="925" spans="1:11" s="21" customFormat="1" ht="19.95" customHeight="1" x14ac:dyDescent="0.25">
      <c r="A925" s="13" t="str">
        <f>"48339"</f>
        <v>48339</v>
      </c>
      <c r="B925" s="14" t="s">
        <v>1271</v>
      </c>
      <c r="C925" s="13" t="str">
        <f>"26.4"</f>
        <v>26.4</v>
      </c>
      <c r="D925" s="32">
        <f>(C925*1.24778761061)+(0.4)</f>
        <v>33.341592920103999</v>
      </c>
      <c r="E925" s="33">
        <f>(C925*1.16814159292)+(-1)</f>
        <v>29.838938053088</v>
      </c>
      <c r="F925" s="33">
        <f>(C925*1.1238938053)+(-4.4)</f>
        <v>25.27079645992</v>
      </c>
      <c r="G925" s="33">
        <f>(C925*1.06194690265)+(-5.9)</f>
        <v>22.135398229959996</v>
      </c>
      <c r="H925" s="34">
        <f>(C925*1.19469026548)+(0)</f>
        <v>31.539823008671998</v>
      </c>
      <c r="I925" s="34">
        <f>(C925*1.16814159292)+(-2)</f>
        <v>28.838938053088</v>
      </c>
      <c r="J925" s="34">
        <f>(C925*1.1238938053)+(-3.9)</f>
        <v>25.77079645992</v>
      </c>
      <c r="K925" s="34">
        <f>(C925*1.07964601769)+(-5.6)</f>
        <v>22.902654867015997</v>
      </c>
    </row>
    <row r="926" spans="1:11" s="21" customFormat="1" ht="19.95" customHeight="1" x14ac:dyDescent="0.25">
      <c r="A926" s="13" t="str">
        <f>"1014476"</f>
        <v>1014476</v>
      </c>
      <c r="B926" s="14" t="s">
        <v>1272</v>
      </c>
      <c r="C926" s="13" t="str">
        <f>"26.6"</f>
        <v>26.6</v>
      </c>
      <c r="D926" s="32">
        <f>(C926*1.24778761061)+(0.4)</f>
        <v>33.591150442226002</v>
      </c>
      <c r="E926" s="33">
        <f>(C926*1.16814159292)+(-1)</f>
        <v>30.072566371672004</v>
      </c>
      <c r="F926" s="33">
        <f>(C926*1.1238938053)+(-4.4)</f>
        <v>25.495575220980001</v>
      </c>
      <c r="G926" s="33">
        <f>(C926*1.06194690265)+(-5.9)</f>
        <v>22.347787610490002</v>
      </c>
      <c r="H926" s="34">
        <f>(C926*1.19469026548)+(0)</f>
        <v>31.778761061768002</v>
      </c>
      <c r="I926" s="34">
        <f>(C926*1.16814159292)+(-2)</f>
        <v>29.072566371672004</v>
      </c>
      <c r="J926" s="34">
        <f>(C926*1.1238938053)+(-3.9)</f>
        <v>25.995575220980005</v>
      </c>
      <c r="K926" s="34">
        <f>(C926*1.07964601769)+(-5.6)</f>
        <v>23.118584070554</v>
      </c>
    </row>
    <row r="927" spans="1:11" s="21" customFormat="1" ht="19.95" customHeight="1" x14ac:dyDescent="0.25">
      <c r="A927" s="13" t="str">
        <f>"1015503"</f>
        <v>1015503</v>
      </c>
      <c r="B927" s="14" t="s">
        <v>1273</v>
      </c>
      <c r="C927" s="13" t="str">
        <f>"40.1"</f>
        <v>40.1</v>
      </c>
      <c r="D927" s="32">
        <f>(C927*1.24778761061)+(0.4)</f>
        <v>50.436283185461001</v>
      </c>
      <c r="E927" s="33">
        <f>(C927*1.16814159292)+(-1)</f>
        <v>45.842477876092005</v>
      </c>
      <c r="F927" s="33">
        <f>(C927*1.1238938053)+(-4.4)</f>
        <v>40.668141592530006</v>
      </c>
      <c r="G927" s="33">
        <f>(C927*1.06194690265)+(-5.9)</f>
        <v>36.684070796264997</v>
      </c>
      <c r="H927" s="34">
        <f>(C927*1.19469026548)+(0)</f>
        <v>47.907079645748006</v>
      </c>
      <c r="I927" s="34">
        <f>(C927*1.16814159292)+(-2)</f>
        <v>44.842477876092005</v>
      </c>
      <c r="J927" s="34">
        <f>(C927*1.1238938053)+(-3.9)</f>
        <v>41.168141592530006</v>
      </c>
      <c r="K927" s="34">
        <f>(C927*1.07964601769)+(-5.6)</f>
        <v>37.693805309368997</v>
      </c>
    </row>
    <row r="928" spans="1:11" s="21" customFormat="1" ht="19.95" customHeight="1" x14ac:dyDescent="0.25">
      <c r="A928" s="13" t="str">
        <f>"44878"</f>
        <v>44878</v>
      </c>
      <c r="B928" s="14" t="s">
        <v>1274</v>
      </c>
      <c r="C928" s="13" t="str">
        <f>"18.0"</f>
        <v>18.0</v>
      </c>
      <c r="D928" s="32">
        <f>(C928*1.24778761061)+(0.4)</f>
        <v>22.860176990980001</v>
      </c>
      <c r="E928" s="33">
        <f>(C928*1.16814159292)+(-1)</f>
        <v>20.026548672560001</v>
      </c>
      <c r="F928" s="33">
        <f>(C928*1.1238938053)+(-4.4)</f>
        <v>15.8300884954</v>
      </c>
      <c r="G928" s="33">
        <f>(C928*1.06194690265)+(-5.9)</f>
        <v>13.215044247699998</v>
      </c>
      <c r="H928" s="34">
        <f>(C928*1.19469026548)+(0)</f>
        <v>21.504424778640001</v>
      </c>
      <c r="I928" s="34">
        <f>(C928*1.16814159292)+(-2)</f>
        <v>19.026548672560001</v>
      </c>
      <c r="J928" s="34">
        <f>(C928*1.1238938053)+(-3.9)</f>
        <v>16.330088495400002</v>
      </c>
      <c r="K928" s="34">
        <f>(C928*1.07964601769)+(-5.6)</f>
        <v>13.833628318419999</v>
      </c>
    </row>
    <row r="929" spans="1:11" s="21" customFormat="1" ht="19.95" customHeight="1" x14ac:dyDescent="0.25">
      <c r="A929" s="13" t="str">
        <f>"42104"</f>
        <v>42104</v>
      </c>
      <c r="B929" s="14" t="s">
        <v>1275</v>
      </c>
      <c r="C929" s="13" t="str">
        <f>"28.0"</f>
        <v>28.0</v>
      </c>
      <c r="D929" s="32">
        <f>(C929*1.24778761061)+(0.4)</f>
        <v>35.33805309708</v>
      </c>
      <c r="E929" s="33">
        <f>(C929*1.16814159292)+(-1)</f>
        <v>31.707964601760004</v>
      </c>
      <c r="F929" s="33">
        <f>(C929*1.1238938053)+(-4.4)</f>
        <v>27.069026548400004</v>
      </c>
      <c r="G929" s="33">
        <f>(C929*1.06194690265)+(-5.9)</f>
        <v>23.834513274199999</v>
      </c>
      <c r="H929" s="34">
        <f>(C929*1.19469026548)+(0)</f>
        <v>33.451327433439999</v>
      </c>
      <c r="I929" s="34">
        <f>(C929*1.16814159292)+(-2)</f>
        <v>30.707964601760004</v>
      </c>
      <c r="J929" s="34">
        <f>(C929*1.1238938053)+(-3.9)</f>
        <v>27.569026548400004</v>
      </c>
      <c r="K929" s="34">
        <f>(C929*1.07964601769)+(-5.6)</f>
        <v>24.630088495320003</v>
      </c>
    </row>
    <row r="930" spans="1:11" s="21" customFormat="1" ht="19.95" customHeight="1" x14ac:dyDescent="0.25">
      <c r="A930" s="13" t="str">
        <f>"44374"</f>
        <v>44374</v>
      </c>
      <c r="B930" s="14" t="s">
        <v>1276</v>
      </c>
      <c r="C930" s="13" t="str">
        <f>"15.6"</f>
        <v>15.6</v>
      </c>
      <c r="D930" s="32">
        <f>(C930*1.24778761061)+(0.4)</f>
        <v>19.865486725516</v>
      </c>
      <c r="E930" s="33">
        <f>(C930*1.16814159292)+(-1)</f>
        <v>17.223008849552002</v>
      </c>
      <c r="F930" s="33">
        <f>(C930*1.1238938053)+(-4.4)</f>
        <v>13.132743362680001</v>
      </c>
      <c r="G930" s="33">
        <f>(C930*1.06194690265)+(-5.9)</f>
        <v>10.666371681339998</v>
      </c>
      <c r="H930" s="34">
        <f>(C930*1.19469026548)+(0)</f>
        <v>18.637168141488001</v>
      </c>
      <c r="I930" s="34">
        <f>(C930*1.16814159292)+(-2)</f>
        <v>16.223008849552002</v>
      </c>
      <c r="J930" s="34">
        <f>(C930*1.1238938053)+(-3.9)</f>
        <v>13.632743362680001</v>
      </c>
      <c r="K930" s="34">
        <f>(C930*1.07964601769)+(-5.6)</f>
        <v>11.242477875964001</v>
      </c>
    </row>
    <row r="931" spans="1:11" s="21" customFormat="1" ht="19.95" customHeight="1" x14ac:dyDescent="0.25">
      <c r="A931" s="13" t="str">
        <f>"1017594"</f>
        <v>1017594</v>
      </c>
      <c r="B931" s="14" t="s">
        <v>1923</v>
      </c>
      <c r="C931" s="13" t="s">
        <v>76</v>
      </c>
      <c r="D931" s="32" t="s">
        <v>77</v>
      </c>
      <c r="E931" s="33" t="s">
        <v>77</v>
      </c>
      <c r="F931" s="33" t="s">
        <v>77</v>
      </c>
      <c r="G931" s="33" t="s">
        <v>77</v>
      </c>
      <c r="H931" s="34" t="s">
        <v>77</v>
      </c>
      <c r="I931" s="34" t="s">
        <v>77</v>
      </c>
      <c r="J931" s="34" t="s">
        <v>77</v>
      </c>
      <c r="K931" s="34" t="s">
        <v>77</v>
      </c>
    </row>
    <row r="932" spans="1:11" s="21" customFormat="1" ht="19.95" customHeight="1" x14ac:dyDescent="0.25">
      <c r="A932" s="13" t="str">
        <f>"16493"</f>
        <v>16493</v>
      </c>
      <c r="B932" s="14" t="s">
        <v>1277</v>
      </c>
      <c r="C932" s="13" t="str">
        <f>"27.1"</f>
        <v>27.1</v>
      </c>
      <c r="D932" s="32">
        <f>(C932*1.24778761061)+(0.4)</f>
        <v>34.215044247531004</v>
      </c>
      <c r="E932" s="33">
        <f>(C932*1.16814159292)+(-1)</f>
        <v>30.656637168132004</v>
      </c>
      <c r="F932" s="33">
        <f>(C932*1.1238938053)+(-4.4)</f>
        <v>26.057522123630001</v>
      </c>
      <c r="G932" s="33">
        <f>(C932*1.06194690265)+(-5.9)</f>
        <v>22.878761061814998</v>
      </c>
      <c r="H932" s="34">
        <f>(C932*1.19469026548)+(0)</f>
        <v>32.376106194508004</v>
      </c>
      <c r="I932" s="34">
        <f>(C932*1.16814159292)+(-2)</f>
        <v>29.656637168132004</v>
      </c>
      <c r="J932" s="34">
        <f>(C932*1.1238938053)+(-3.9)</f>
        <v>26.557522123630005</v>
      </c>
      <c r="K932" s="34">
        <f>(C932*1.07964601769)+(-5.6)</f>
        <v>23.658407079399005</v>
      </c>
    </row>
    <row r="933" spans="1:11" s="21" customFormat="1" ht="19.95" customHeight="1" x14ac:dyDescent="0.25">
      <c r="A933" s="13" t="str">
        <f>"16497"</f>
        <v>16497</v>
      </c>
      <c r="B933" s="14" t="s">
        <v>1278</v>
      </c>
      <c r="C933" s="13" t="str">
        <f>"23.2"</f>
        <v>23.2</v>
      </c>
      <c r="D933" s="32">
        <f>(C933*1.24778761061)+(0.4)</f>
        <v>29.348672566152</v>
      </c>
      <c r="E933" s="33">
        <f>(C933*1.16814159292)+(-1)</f>
        <v>26.100884955744</v>
      </c>
      <c r="F933" s="33">
        <f>(C933*1.1238938053)+(-4.4)</f>
        <v>21.674336282959999</v>
      </c>
      <c r="G933" s="33">
        <f>(C933*1.06194690265)+(-5.9)</f>
        <v>18.737168141479998</v>
      </c>
      <c r="H933" s="34">
        <f>(C933*1.19469026548)+(0)</f>
        <v>27.716814159136</v>
      </c>
      <c r="I933" s="34">
        <f>(C933*1.16814159292)+(-2)</f>
        <v>25.100884955744</v>
      </c>
      <c r="J933" s="34">
        <f>(C933*1.1238938053)+(-3.9)</f>
        <v>22.174336282960002</v>
      </c>
      <c r="K933" s="34">
        <f>(C933*1.07964601769)+(-5.6)</f>
        <v>19.447787610408</v>
      </c>
    </row>
    <row r="934" spans="1:11" s="21" customFormat="1" ht="19.95" customHeight="1" x14ac:dyDescent="0.25">
      <c r="A934" s="13" t="str">
        <f>"54382"</f>
        <v>54382</v>
      </c>
      <c r="B934" s="14" t="s">
        <v>1279</v>
      </c>
      <c r="C934" s="13" t="str">
        <f>"17.4"</f>
        <v>17.4</v>
      </c>
      <c r="D934" s="32">
        <f>(C934*1.24778761061)+(0.4)</f>
        <v>22.111504424613997</v>
      </c>
      <c r="E934" s="33">
        <f>(C934*1.16814159292)+(-1)</f>
        <v>19.325663716807998</v>
      </c>
      <c r="F934" s="33">
        <f>(C934*1.1238938053)+(-4.4)</f>
        <v>15.155752212219999</v>
      </c>
      <c r="G934" s="33">
        <f>(C934*1.06194690265)+(-5.9)</f>
        <v>12.577876106109995</v>
      </c>
      <c r="H934" s="34">
        <f>(C934*1.19469026548)+(0)</f>
        <v>20.787610619351998</v>
      </c>
      <c r="I934" s="34">
        <f>(C934*1.16814159292)+(-2)</f>
        <v>18.325663716807998</v>
      </c>
      <c r="J934" s="34">
        <f>(C934*1.1238938053)+(-3.9)</f>
        <v>15.655752212219999</v>
      </c>
      <c r="K934" s="34">
        <f>(C934*1.07964601769)+(-5.6)</f>
        <v>13.185840707805999</v>
      </c>
    </row>
    <row r="935" spans="1:11" s="21" customFormat="1" ht="19.95" customHeight="1" x14ac:dyDescent="0.25">
      <c r="A935" s="13" t="str">
        <f>"16500"</f>
        <v>16500</v>
      </c>
      <c r="B935" s="14" t="s">
        <v>1280</v>
      </c>
      <c r="C935" s="13" t="str">
        <f>"18.5"</f>
        <v>18.5</v>
      </c>
      <c r="D935" s="32">
        <f>(C935*1.24778761061)+(0.4)</f>
        <v>23.484070796285</v>
      </c>
      <c r="E935" s="33">
        <f>(C935*1.16814159292)+(-1)</f>
        <v>20.610619469020001</v>
      </c>
      <c r="F935" s="33">
        <f>(C935*1.1238938053)+(-4.4)</f>
        <v>16.392035398049998</v>
      </c>
      <c r="G935" s="33">
        <f>(C935*1.06194690265)+(-5.9)</f>
        <v>13.746017699024998</v>
      </c>
      <c r="H935" s="34">
        <f>(C935*1.19469026548)+(0)</f>
        <v>22.10176991138</v>
      </c>
      <c r="I935" s="34">
        <f>(C935*1.16814159292)+(-2)</f>
        <v>19.610619469020001</v>
      </c>
      <c r="J935" s="34">
        <f>(C935*1.1238938053)+(-3.9)</f>
        <v>16.892035398050002</v>
      </c>
      <c r="K935" s="34">
        <f>(C935*1.07964601769)+(-5.6)</f>
        <v>14.373451327265</v>
      </c>
    </row>
    <row r="936" spans="1:11" s="21" customFormat="1" ht="19.95" customHeight="1" x14ac:dyDescent="0.25">
      <c r="A936" s="13" t="str">
        <f>"16502"</f>
        <v>16502</v>
      </c>
      <c r="B936" s="14" t="s">
        <v>1281</v>
      </c>
      <c r="C936" s="13" t="str">
        <f>"21.4"</f>
        <v>21.4</v>
      </c>
      <c r="D936" s="32">
        <f>(C936*1.24778761061)+(0.4)</f>
        <v>27.102654867054</v>
      </c>
      <c r="E936" s="33">
        <f>(C936*1.16814159292)+(-1)</f>
        <v>23.998230088488</v>
      </c>
      <c r="F936" s="33">
        <f>(C936*1.1238938053)+(-4.4)</f>
        <v>19.651327433420001</v>
      </c>
      <c r="G936" s="33">
        <f>(C936*1.06194690265)+(-5.9)</f>
        <v>16.825663716709997</v>
      </c>
      <c r="H936" s="34">
        <f>(C936*1.19469026548)+(0)</f>
        <v>25.566371681271999</v>
      </c>
      <c r="I936" s="34">
        <f>(C936*1.16814159292)+(-2)</f>
        <v>22.998230088488</v>
      </c>
      <c r="J936" s="34">
        <f>(C936*1.1238938053)+(-3.9)</f>
        <v>20.151327433420001</v>
      </c>
      <c r="K936" s="34">
        <f>(C936*1.07964601769)+(-5.6)</f>
        <v>17.504424778565998</v>
      </c>
    </row>
    <row r="937" spans="1:11" s="21" customFormat="1" ht="19.95" customHeight="1" x14ac:dyDescent="0.25">
      <c r="A937" s="13" t="str">
        <f>"66884"</f>
        <v>66884</v>
      </c>
      <c r="B937" s="14" t="s">
        <v>1282</v>
      </c>
      <c r="C937" s="13" t="str">
        <f>"15.0"</f>
        <v>15.0</v>
      </c>
      <c r="D937" s="32">
        <f>(C937*1.24778761061)+(0.4)</f>
        <v>19.11681415915</v>
      </c>
      <c r="E937" s="33">
        <f>(C937*1.16814159292)+(-1)</f>
        <v>16.5221238938</v>
      </c>
      <c r="F937" s="33">
        <f>(C937*1.1238938053)+(-4.4)</f>
        <v>12.458407079500001</v>
      </c>
      <c r="G937" s="33">
        <f>(C937*1.06194690265)+(-5.9)</f>
        <v>10.029203539749998</v>
      </c>
      <c r="H937" s="34">
        <f>(C937*1.19469026548)+(0)</f>
        <v>17.920353982200002</v>
      </c>
      <c r="I937" s="34">
        <f>(C937*1.16814159292)+(-2)</f>
        <v>15.5221238938</v>
      </c>
      <c r="J937" s="34">
        <f>(C937*1.1238938053)+(-3.9)</f>
        <v>12.958407079500001</v>
      </c>
      <c r="K937" s="34">
        <f>(C937*1.07964601769)+(-5.6)</f>
        <v>10.594690265350001</v>
      </c>
    </row>
    <row r="938" spans="1:11" s="21" customFormat="1" ht="19.95" customHeight="1" x14ac:dyDescent="0.25">
      <c r="A938" s="13" t="str">
        <f>"20084"</f>
        <v>20084</v>
      </c>
      <c r="B938" s="14" t="s">
        <v>1283</v>
      </c>
      <c r="C938" s="13" t="str">
        <f>"23.4"</f>
        <v>23.4</v>
      </c>
      <c r="D938" s="32">
        <f>(C938*1.24778761061)+(0.4)</f>
        <v>29.598230088274001</v>
      </c>
      <c r="E938" s="33">
        <f>(C938*1.16814159292)+(-1)</f>
        <v>26.334513274328</v>
      </c>
      <c r="F938" s="33">
        <f>(C938*1.1238938053)+(-4.4)</f>
        <v>21.89911504402</v>
      </c>
      <c r="G938" s="33">
        <f>(C938*1.06194690265)+(-5.9)</f>
        <v>18.949557522009997</v>
      </c>
      <c r="H938" s="34">
        <f>(C938*1.19469026548)+(0)</f>
        <v>27.955752212231999</v>
      </c>
      <c r="I938" s="34">
        <f>(C938*1.16814159292)+(-2)</f>
        <v>25.334513274328</v>
      </c>
      <c r="J938" s="34">
        <f>(C938*1.1238938053)+(-3.9)</f>
        <v>22.39911504402</v>
      </c>
      <c r="K938" s="34">
        <f>(C938*1.07964601769)+(-5.6)</f>
        <v>19.663716813945996</v>
      </c>
    </row>
    <row r="939" spans="1:11" s="21" customFormat="1" ht="19.95" customHeight="1" x14ac:dyDescent="0.25">
      <c r="A939" s="13" t="str">
        <f>"1007902"</f>
        <v>1007902</v>
      </c>
      <c r="B939" s="14" t="s">
        <v>1284</v>
      </c>
      <c r="C939" s="13" t="str">
        <f>"10.5"</f>
        <v>10.5</v>
      </c>
      <c r="D939" s="32">
        <f>(C939*1.24778761061)+(0.4)</f>
        <v>13.501769911405001</v>
      </c>
      <c r="E939" s="33">
        <f>(C939*1.16814159292)+(-1)</f>
        <v>11.265486725660001</v>
      </c>
      <c r="F939" s="33">
        <f>(C939*1.1238938053)+(-4.4)</f>
        <v>7.4008849556499996</v>
      </c>
      <c r="G939" s="33">
        <f>(C939*1.06194690265)+(-5.9)</f>
        <v>5.2504424778249987</v>
      </c>
      <c r="H939" s="34">
        <f>(C939*1.19469026548)+(0)</f>
        <v>12.54424778754</v>
      </c>
      <c r="I939" s="34">
        <f>(C939*1.16814159292)+(-2)</f>
        <v>10.265486725660001</v>
      </c>
      <c r="J939" s="34">
        <f>(C939*1.1238938053)+(-3.9)</f>
        <v>7.9008849556499996</v>
      </c>
      <c r="K939" s="34">
        <f>(C939*1.07964601769)+(-5.6)</f>
        <v>5.7362831857450001</v>
      </c>
    </row>
    <row r="940" spans="1:11" s="21" customFormat="1" ht="19.95" customHeight="1" x14ac:dyDescent="0.25">
      <c r="A940" s="13" t="str">
        <f>"69393"</f>
        <v>69393</v>
      </c>
      <c r="B940" s="14" t="s">
        <v>1285</v>
      </c>
      <c r="C940" s="13" t="str">
        <f>"19.2"</f>
        <v>19.2</v>
      </c>
      <c r="D940" s="32">
        <f>(C940*1.24778761061)+(0.4)</f>
        <v>24.357522123711998</v>
      </c>
      <c r="E940" s="33">
        <f>(C940*1.16814159292)+(-1)</f>
        <v>21.428318584064002</v>
      </c>
      <c r="F940" s="33">
        <f>(C940*1.1238938053)+(-4.4)</f>
        <v>17.17876106176</v>
      </c>
      <c r="G940" s="33">
        <f>(C940*1.06194690265)+(-5.9)</f>
        <v>14.489380530879997</v>
      </c>
      <c r="H940" s="34">
        <f>(C940*1.19469026548)+(0)</f>
        <v>22.938053097215999</v>
      </c>
      <c r="I940" s="34">
        <f>(C940*1.16814159292)+(-2)</f>
        <v>20.428318584064002</v>
      </c>
      <c r="J940" s="34">
        <f>(C940*1.1238938053)+(-3.9)</f>
        <v>17.678761061760003</v>
      </c>
      <c r="K940" s="34">
        <f>(C940*1.07964601769)+(-5.6)</f>
        <v>15.129203539648001</v>
      </c>
    </row>
    <row r="941" spans="1:11" s="21" customFormat="1" ht="19.95" customHeight="1" x14ac:dyDescent="0.25">
      <c r="A941" s="13" t="str">
        <f>"16507"</f>
        <v>16507</v>
      </c>
      <c r="B941" s="14" t="s">
        <v>1286</v>
      </c>
      <c r="C941" s="13" t="str">
        <f>"17.8"</f>
        <v>17.8</v>
      </c>
      <c r="D941" s="32">
        <f>(C941*1.24778761061)+(0.4)</f>
        <v>22.610619468858001</v>
      </c>
      <c r="E941" s="33">
        <f>(C941*1.16814159292)+(-1)</f>
        <v>19.792920353976001</v>
      </c>
      <c r="F941" s="33">
        <f>(C941*1.1238938053)+(-4.4)</f>
        <v>15.605309734340002</v>
      </c>
      <c r="G941" s="33">
        <f>(C941*1.06194690265)+(-5.9)</f>
        <v>13.00265486717</v>
      </c>
      <c r="H941" s="34">
        <f>(C941*1.19469026548)+(0)</f>
        <v>21.265486725544001</v>
      </c>
      <c r="I941" s="34">
        <f>(C941*1.16814159292)+(-2)</f>
        <v>18.792920353976001</v>
      </c>
      <c r="J941" s="34">
        <f>(C941*1.1238938053)+(-3.9)</f>
        <v>16.105309734340004</v>
      </c>
      <c r="K941" s="34">
        <f>(C941*1.07964601769)+(-5.6)</f>
        <v>13.617699114882003</v>
      </c>
    </row>
    <row r="942" spans="1:11" s="21" customFormat="1" ht="19.95" customHeight="1" x14ac:dyDescent="0.25">
      <c r="A942" s="13" t="str">
        <f>"068233"</f>
        <v>068233</v>
      </c>
      <c r="B942" s="14" t="s">
        <v>1287</v>
      </c>
      <c r="C942" s="13" t="str">
        <f>"15.5"</f>
        <v>15.5</v>
      </c>
      <c r="D942" s="32">
        <f>(C942*1.24778761061)+(0.4)</f>
        <v>19.740707964455002</v>
      </c>
      <c r="E942" s="33">
        <f>(C942*1.16814159292)+(-1)</f>
        <v>17.106194690260001</v>
      </c>
      <c r="F942" s="33">
        <f>(C942*1.1238938053)+(-4.4)</f>
        <v>13.020353982150001</v>
      </c>
      <c r="G942" s="33">
        <f>(C942*1.06194690265)+(-5.9)</f>
        <v>10.560176991074998</v>
      </c>
      <c r="H942" s="34">
        <f>(C942*1.19469026548)+(0)</f>
        <v>18.517699114940001</v>
      </c>
      <c r="I942" s="34">
        <f>(C942*1.16814159292)+(-2)</f>
        <v>16.106194690260001</v>
      </c>
      <c r="J942" s="34">
        <f>(C942*1.1238938053)+(-3.9)</f>
        <v>13.520353982150001</v>
      </c>
      <c r="K942" s="34">
        <f>(C942*1.07964601769)+(-5.6)</f>
        <v>11.134513274194999</v>
      </c>
    </row>
    <row r="943" spans="1:11" s="21" customFormat="1" ht="19.95" customHeight="1" x14ac:dyDescent="0.25">
      <c r="A943" s="13" t="str">
        <f>"16508"</f>
        <v>16508</v>
      </c>
      <c r="B943" s="14" t="s">
        <v>1288</v>
      </c>
      <c r="C943" s="13" t="str">
        <f>"26.4"</f>
        <v>26.4</v>
      </c>
      <c r="D943" s="32">
        <f>(C943*1.24778761061)+(0.4)</f>
        <v>33.341592920103999</v>
      </c>
      <c r="E943" s="33">
        <f>(C943*1.16814159292)+(-1)</f>
        <v>29.838938053088</v>
      </c>
      <c r="F943" s="33">
        <f>(C943*1.1238938053)+(-4.4)</f>
        <v>25.27079645992</v>
      </c>
      <c r="G943" s="33">
        <f>(C943*1.06194690265)+(-5.9)</f>
        <v>22.135398229959996</v>
      </c>
      <c r="H943" s="34">
        <f>(C943*1.19469026548)+(0)</f>
        <v>31.539823008671998</v>
      </c>
      <c r="I943" s="34">
        <f>(C943*1.16814159292)+(-2)</f>
        <v>28.838938053088</v>
      </c>
      <c r="J943" s="34">
        <f>(C943*1.1238938053)+(-3.9)</f>
        <v>25.77079645992</v>
      </c>
      <c r="K943" s="34">
        <f>(C943*1.07964601769)+(-5.6)</f>
        <v>22.902654867015997</v>
      </c>
    </row>
    <row r="944" spans="1:11" s="21" customFormat="1" ht="19.95" customHeight="1" x14ac:dyDescent="0.25">
      <c r="A944" s="13" t="str">
        <f>"7152"</f>
        <v>7152</v>
      </c>
      <c r="B944" s="14" t="s">
        <v>1289</v>
      </c>
      <c r="C944" s="13" t="str">
        <f>"9.4"</f>
        <v>9.4</v>
      </c>
      <c r="D944" s="32">
        <f>(C944*1.24778761061)+(0.4)</f>
        <v>12.129203539734002</v>
      </c>
      <c r="E944" s="33">
        <f>(C944*1.16814159292)+(-1)</f>
        <v>9.9805309734480012</v>
      </c>
      <c r="F944" s="33">
        <f>(C944*1.1238938053)+(-4.4)</f>
        <v>6.1646017698200009</v>
      </c>
      <c r="G944" s="33">
        <f>(C944*1.06194690265)+(-5.9)</f>
        <v>4.0823008849099995</v>
      </c>
      <c r="H944" s="34">
        <f>(C944*1.19469026548)+(0)</f>
        <v>11.230088495512</v>
      </c>
      <c r="I944" s="34">
        <f>(C944*1.16814159292)+(-2)</f>
        <v>8.9805309734480012</v>
      </c>
      <c r="J944" s="34">
        <f>(C944*1.1238938053)+(-3.9)</f>
        <v>6.6646017698200009</v>
      </c>
      <c r="K944" s="34">
        <f>(C944*1.07964601769)+(-5.6)</f>
        <v>4.548672566286001</v>
      </c>
    </row>
    <row r="945" spans="1:11" s="21" customFormat="1" ht="19.95" customHeight="1" x14ac:dyDescent="0.25">
      <c r="A945" s="13" t="str">
        <f>"70752"</f>
        <v>70752</v>
      </c>
      <c r="B945" s="14" t="s">
        <v>1290</v>
      </c>
      <c r="C945" s="13" t="str">
        <f>"12.0"</f>
        <v>12.0</v>
      </c>
      <c r="D945" s="32">
        <f>(C945*1.24778761061)+(0.4)</f>
        <v>15.373451327320002</v>
      </c>
      <c r="E945" s="33">
        <f>(C945*1.16814159292)+(-1)</f>
        <v>13.017699115040001</v>
      </c>
      <c r="F945" s="33">
        <f>(C945*1.1238938053)+(-4.4)</f>
        <v>9.0867256636000011</v>
      </c>
      <c r="G945" s="33">
        <f>(C945*1.06194690265)+(-5.9)</f>
        <v>6.8433628317999986</v>
      </c>
      <c r="H945" s="34">
        <f>(C945*1.19469026548)+(0)</f>
        <v>14.336283185759999</v>
      </c>
      <c r="I945" s="34">
        <f>(C945*1.16814159292)+(-2)</f>
        <v>12.017699115040001</v>
      </c>
      <c r="J945" s="34">
        <f>(C945*1.1238938053)+(-3.9)</f>
        <v>9.5867256636000011</v>
      </c>
      <c r="K945" s="34">
        <f>(C945*1.07964601769)+(-5.6)</f>
        <v>7.3557522122800005</v>
      </c>
    </row>
    <row r="946" spans="1:11" s="21" customFormat="1" ht="19.95" customHeight="1" x14ac:dyDescent="0.25">
      <c r="A946" s="13" t="str">
        <f>"16511"</f>
        <v>16511</v>
      </c>
      <c r="B946" s="14" t="s">
        <v>1291</v>
      </c>
      <c r="C946" s="13" t="str">
        <f>"34.3"</f>
        <v>34.3</v>
      </c>
      <c r="D946" s="32">
        <f>(C946*1.24778761061)+(0.4)</f>
        <v>43.199115043923001</v>
      </c>
      <c r="E946" s="33">
        <f>(C946*1.16814159292)+(-1)</f>
        <v>39.067256637155999</v>
      </c>
      <c r="F946" s="33">
        <f>(C946*1.1238938053)+(-4.4)</f>
        <v>34.149557521790001</v>
      </c>
      <c r="G946" s="33">
        <f>(C946*1.06194690265)+(-5.9)</f>
        <v>30.524778760894996</v>
      </c>
      <c r="H946" s="34">
        <f>(C946*1.19469026548)+(0)</f>
        <v>40.977876105964</v>
      </c>
      <c r="I946" s="34">
        <f>(C946*1.16814159292)+(-2)</f>
        <v>38.067256637155999</v>
      </c>
      <c r="J946" s="34">
        <f>(C946*1.1238938053)+(-3.9)</f>
        <v>34.649557521790001</v>
      </c>
      <c r="K946" s="34">
        <f>(C946*1.07964601769)+(-5.6)</f>
        <v>31.431858406766999</v>
      </c>
    </row>
    <row r="947" spans="1:11" s="21" customFormat="1" ht="19.95" customHeight="1" x14ac:dyDescent="0.25">
      <c r="A947" s="13" t="str">
        <f>"79400"</f>
        <v>79400</v>
      </c>
      <c r="B947" s="14" t="s">
        <v>1292</v>
      </c>
      <c r="C947" s="13" t="str">
        <f>"16.0"</f>
        <v>16.0</v>
      </c>
      <c r="D947" s="32">
        <f>(C947*1.24778761061)+(0.4)</f>
        <v>20.36460176976</v>
      </c>
      <c r="E947" s="33">
        <f>(C947*1.16814159292)+(-1)</f>
        <v>17.690265486720001</v>
      </c>
      <c r="F947" s="33">
        <f>(C947*1.1238938053)+(-4.4)</f>
        <v>13.5823008848</v>
      </c>
      <c r="G947" s="33">
        <f>(C947*1.06194690265)+(-5.9)</f>
        <v>11.091150442399998</v>
      </c>
      <c r="H947" s="34">
        <f>(C947*1.19469026548)+(0)</f>
        <v>19.11504424768</v>
      </c>
      <c r="I947" s="34">
        <f>(C947*1.16814159292)+(-2)</f>
        <v>16.690265486720001</v>
      </c>
      <c r="J947" s="34">
        <f>(C947*1.1238938053)+(-3.9)</f>
        <v>14.0823008848</v>
      </c>
      <c r="K947" s="34">
        <f>(C947*1.07964601769)+(-5.6)</f>
        <v>11.674336283040001</v>
      </c>
    </row>
    <row r="948" spans="1:11" s="21" customFormat="1" ht="19.95" customHeight="1" x14ac:dyDescent="0.25">
      <c r="A948" s="13" t="str">
        <f>"42801"</f>
        <v>42801</v>
      </c>
      <c r="B948" s="14" t="s">
        <v>1293</v>
      </c>
      <c r="C948" s="13" t="str">
        <f>"21.7"</f>
        <v>21.7</v>
      </c>
      <c r="D948" s="32">
        <f>(C948*1.24778761061)+(0.4)</f>
        <v>27.476991150237001</v>
      </c>
      <c r="E948" s="33">
        <f>(C948*1.16814159292)+(-1)</f>
        <v>24.348672566364002</v>
      </c>
      <c r="F948" s="33">
        <f>(C948*1.1238938053)+(-4.4)</f>
        <v>19.988495575009999</v>
      </c>
      <c r="G948" s="33">
        <f>(C948*1.06194690265)+(-5.9)</f>
        <v>17.144247787504995</v>
      </c>
      <c r="H948" s="34">
        <f>(C948*1.19469026548)+(0)</f>
        <v>25.924778760915999</v>
      </c>
      <c r="I948" s="34">
        <f>(C948*1.16814159292)+(-2)</f>
        <v>23.348672566364002</v>
      </c>
      <c r="J948" s="34">
        <f>(C948*1.1238938053)+(-3.9)</f>
        <v>20.488495575010003</v>
      </c>
      <c r="K948" s="34">
        <f>(C948*1.07964601769)+(-5.6)</f>
        <v>17.828318583872999</v>
      </c>
    </row>
    <row r="949" spans="1:11" s="21" customFormat="1" ht="19.95" customHeight="1" x14ac:dyDescent="0.25">
      <c r="A949" s="13" t="str">
        <f>"1001040"</f>
        <v>1001040</v>
      </c>
      <c r="B949" s="14" t="s">
        <v>1294</v>
      </c>
      <c r="C949" s="13" t="str">
        <f>"27.5"</f>
        <v>27.5</v>
      </c>
      <c r="D949" s="32">
        <f>(C949*1.24778761061)+(0.4)</f>
        <v>34.714159291775005</v>
      </c>
      <c r="E949" s="33">
        <f>(C949*1.16814159292)+(-1)</f>
        <v>31.1238938053</v>
      </c>
      <c r="F949" s="33">
        <f>(C949*1.1238938053)+(-4.4)</f>
        <v>26.507079645750004</v>
      </c>
      <c r="G949" s="33">
        <f>(C949*1.06194690265)+(-5.9)</f>
        <v>23.303539822874995</v>
      </c>
      <c r="H949" s="34">
        <f>(C949*1.19469026548)+(0)</f>
        <v>32.853982300700004</v>
      </c>
      <c r="I949" s="34">
        <f>(C949*1.16814159292)+(-2)</f>
        <v>30.1238938053</v>
      </c>
      <c r="J949" s="34">
        <f>(C949*1.1238938053)+(-3.9)</f>
        <v>27.007079645750004</v>
      </c>
      <c r="K949" s="34">
        <f>(C949*1.07964601769)+(-5.6)</f>
        <v>24.090265486474998</v>
      </c>
    </row>
    <row r="950" spans="1:11" s="21" customFormat="1" ht="19.95" customHeight="1" x14ac:dyDescent="0.25">
      <c r="A950" s="13" t="str">
        <f>"16520"</f>
        <v>16520</v>
      </c>
      <c r="B950" s="14" t="s">
        <v>1295</v>
      </c>
      <c r="C950" s="13" t="str">
        <f>"31.3000"</f>
        <v>31.3000</v>
      </c>
      <c r="D950" s="32">
        <f>(C950*1.24778761061)+(0.4)</f>
        <v>39.455752212093003</v>
      </c>
      <c r="E950" s="33">
        <f>(C950*1.16814159292)+(-1)</f>
        <v>35.562831858396002</v>
      </c>
      <c r="F950" s="33">
        <f>(C950*1.1238938053)+(-4.4)</f>
        <v>30.777876105890002</v>
      </c>
      <c r="G950" s="33">
        <f>(C950*1.06194690265)+(-5.9)</f>
        <v>27.338938052944997</v>
      </c>
      <c r="H950" s="34">
        <f>(C950*1.19469026548)+(0)</f>
        <v>37.393805309523998</v>
      </c>
      <c r="I950" s="34">
        <f>(C950*1.16814159292)+(-2)</f>
        <v>34.562831858396002</v>
      </c>
      <c r="J950" s="34">
        <f>(C950*1.1238938053)+(-3.9)</f>
        <v>31.277876105890002</v>
      </c>
      <c r="K950" s="34">
        <f>(C950*1.07964601769)+(-5.6)</f>
        <v>28.192920353696998</v>
      </c>
    </row>
    <row r="951" spans="1:11" s="21" customFormat="1" ht="19.95" customHeight="1" x14ac:dyDescent="0.25">
      <c r="A951" s="13" t="str">
        <f>"1011027"</f>
        <v>1011027</v>
      </c>
      <c r="B951" s="14" t="s">
        <v>1296</v>
      </c>
      <c r="C951" s="13" t="str">
        <f>"19.1"</f>
        <v>19.1</v>
      </c>
      <c r="D951" s="32">
        <f>(C951*1.24778761061)+(0.4)</f>
        <v>24.232743362651004</v>
      </c>
      <c r="E951" s="33">
        <f>(C951*1.16814159292)+(-1)</f>
        <v>21.311504424772004</v>
      </c>
      <c r="F951" s="33">
        <f>(C951*1.1238938053)+(-4.4)</f>
        <v>17.066371681230002</v>
      </c>
      <c r="G951" s="33">
        <f>(C951*1.06194690265)+(-5.9)</f>
        <v>14.383185840615001</v>
      </c>
      <c r="H951" s="34">
        <f>(C951*1.19469026548)+(0)</f>
        <v>22.818584070668003</v>
      </c>
      <c r="I951" s="34">
        <f>(C951*1.16814159292)+(-2)</f>
        <v>20.311504424772004</v>
      </c>
      <c r="J951" s="34">
        <f>(C951*1.1238938053)+(-3.9)</f>
        <v>17.566371681230002</v>
      </c>
      <c r="K951" s="34">
        <f>(C951*1.07964601769)+(-5.6)</f>
        <v>15.021238937879003</v>
      </c>
    </row>
    <row r="952" spans="1:11" s="21" customFormat="1" ht="19.95" customHeight="1" x14ac:dyDescent="0.25">
      <c r="A952" s="13" t="str">
        <f>"69736"</f>
        <v>69736</v>
      </c>
      <c r="B952" s="14" t="s">
        <v>1297</v>
      </c>
      <c r="C952" s="13" t="str">
        <f>"28.8"</f>
        <v>28.8</v>
      </c>
      <c r="D952" s="32">
        <f>(C952*1.24778761061)+(0.4)</f>
        <v>36.336283185568</v>
      </c>
      <c r="E952" s="33">
        <f>(C952*1.16814159292)+(-1)</f>
        <v>32.642477876096002</v>
      </c>
      <c r="F952" s="33">
        <f>(C952*1.1238938053)+(-4.4)</f>
        <v>27.968141592640002</v>
      </c>
      <c r="G952" s="33">
        <f>(C952*1.06194690265)+(-5.9)</f>
        <v>24.68407079632</v>
      </c>
      <c r="H952" s="34">
        <f>(C952*1.19469026548)+(0)</f>
        <v>34.407079645823998</v>
      </c>
      <c r="I952" s="34">
        <f>(C952*1.16814159292)+(-2)</f>
        <v>31.642477876096002</v>
      </c>
      <c r="J952" s="34">
        <f>(C952*1.1238938053)+(-3.9)</f>
        <v>28.468141592640002</v>
      </c>
      <c r="K952" s="34">
        <f>(C952*1.07964601769)+(-5.6)</f>
        <v>25.493805309472002</v>
      </c>
    </row>
    <row r="953" spans="1:11" s="21" customFormat="1" ht="19.95" customHeight="1" x14ac:dyDescent="0.25">
      <c r="A953" s="13" t="str">
        <f>"20107"</f>
        <v>20107</v>
      </c>
      <c r="B953" s="14" t="s">
        <v>1298</v>
      </c>
      <c r="C953" s="13" t="str">
        <f>"22.0"</f>
        <v>22.0</v>
      </c>
      <c r="D953" s="32">
        <f>(C953*1.24778761061)+(0.4)</f>
        <v>27.85132743342</v>
      </c>
      <c r="E953" s="33">
        <f>(C953*1.16814159292)+(-1)</f>
        <v>24.699115044240003</v>
      </c>
      <c r="F953" s="33">
        <f>(C953*1.1238938053)+(-4.4)</f>
        <v>20.325663716599998</v>
      </c>
      <c r="G953" s="33">
        <f>(C953*1.06194690265)+(-5.9)</f>
        <v>17.4628318583</v>
      </c>
      <c r="H953" s="34">
        <f>(C953*1.19469026548)+(0)</f>
        <v>26.283185840560002</v>
      </c>
      <c r="I953" s="34">
        <f>(C953*1.16814159292)+(-2)</f>
        <v>23.699115044240003</v>
      </c>
      <c r="J953" s="34">
        <f>(C953*1.1238938053)+(-3.9)</f>
        <v>20.825663716600001</v>
      </c>
      <c r="K953" s="34">
        <f>(C953*1.07964601769)+(-5.6)</f>
        <v>18.152212389180001</v>
      </c>
    </row>
    <row r="954" spans="1:11" s="21" customFormat="1" ht="19.95" customHeight="1" x14ac:dyDescent="0.25">
      <c r="A954" s="13" t="str">
        <f>"1006054"</f>
        <v>1006054</v>
      </c>
      <c r="B954" s="14" t="s">
        <v>1299</v>
      </c>
      <c r="C954" s="13" t="str">
        <f>"27.2"</f>
        <v>27.2</v>
      </c>
      <c r="D954" s="32">
        <f>(C954*1.24778761061)+(0.4)</f>
        <v>34.339823008591999</v>
      </c>
      <c r="E954" s="33">
        <f>(C954*1.16814159292)+(-1)</f>
        <v>30.773451327424002</v>
      </c>
      <c r="F954" s="33">
        <f>(C954*1.1238938053)+(-4.4)</f>
        <v>26.169911504159998</v>
      </c>
      <c r="G954" s="33">
        <f>(C954*1.06194690265)+(-5.9)</f>
        <v>22.984955752079998</v>
      </c>
      <c r="H954" s="34">
        <f>(C954*1.19469026548)+(0)</f>
        <v>32.495575221056001</v>
      </c>
      <c r="I954" s="34">
        <f>(C954*1.16814159292)+(-2)</f>
        <v>29.773451327424002</v>
      </c>
      <c r="J954" s="34">
        <f>(C954*1.1238938053)+(-3.9)</f>
        <v>26.669911504160002</v>
      </c>
      <c r="K954" s="34">
        <f>(C954*1.07964601769)+(-5.6)</f>
        <v>23.766371681168003</v>
      </c>
    </row>
    <row r="955" spans="1:11" s="21" customFormat="1" ht="19.95" customHeight="1" x14ac:dyDescent="0.25">
      <c r="A955" s="13" t="str">
        <f>"702"</f>
        <v>702</v>
      </c>
      <c r="B955" s="14" t="s">
        <v>1300</v>
      </c>
      <c r="C955" s="13" t="str">
        <f>"21.9"</f>
        <v>21.9</v>
      </c>
      <c r="D955" s="32">
        <f>(C955*1.24778761061)+(0.4)</f>
        <v>27.726548672358998</v>
      </c>
      <c r="E955" s="33">
        <f>(C955*1.16814159292)+(-1)</f>
        <v>24.582300884948001</v>
      </c>
      <c r="F955" s="33">
        <f>(C955*1.1238938053)+(-4.4)</f>
        <v>20.21327433607</v>
      </c>
      <c r="G955" s="33">
        <f>(C955*1.06194690265)+(-5.9)</f>
        <v>17.356637168034993</v>
      </c>
      <c r="H955" s="34">
        <f>(C955*1.19469026548)+(0)</f>
        <v>26.163716814011998</v>
      </c>
      <c r="I955" s="34">
        <f>(C955*1.16814159292)+(-2)</f>
        <v>23.582300884948001</v>
      </c>
      <c r="J955" s="34">
        <f>(C955*1.1238938053)+(-3.9)</f>
        <v>20.71327433607</v>
      </c>
      <c r="K955" s="34">
        <f>(C955*1.07964601769)+(-5.6)</f>
        <v>18.044247787411003</v>
      </c>
    </row>
    <row r="956" spans="1:11" s="21" customFormat="1" ht="19.95" customHeight="1" x14ac:dyDescent="0.25">
      <c r="A956" s="13" t="str">
        <f>"16530"</f>
        <v>16530</v>
      </c>
      <c r="B956" s="14" t="s">
        <v>1301</v>
      </c>
      <c r="C956" s="13" t="str">
        <f>"15.9"</f>
        <v>15.9</v>
      </c>
      <c r="D956" s="32">
        <f>(C956*1.24778761061)+(0.4)</f>
        <v>20.239823008699002</v>
      </c>
      <c r="E956" s="33">
        <f>(C956*1.16814159292)+(-1)</f>
        <v>17.573451327428003</v>
      </c>
      <c r="F956" s="33">
        <f>(C956*1.1238938053)+(-4.4)</f>
        <v>13.46991150427</v>
      </c>
      <c r="G956" s="33">
        <f>(C956*1.06194690265)+(-5.9)</f>
        <v>10.984955752134999</v>
      </c>
      <c r="H956" s="34">
        <f>(C956*1.19469026548)+(0)</f>
        <v>18.995575221132</v>
      </c>
      <c r="I956" s="34">
        <f>(C956*1.16814159292)+(-2)</f>
        <v>16.573451327428003</v>
      </c>
      <c r="J956" s="34">
        <f>(C956*1.1238938053)+(-3.9)</f>
        <v>13.96991150427</v>
      </c>
      <c r="K956" s="34">
        <f>(C956*1.07964601769)+(-5.6)</f>
        <v>11.566371681271002</v>
      </c>
    </row>
    <row r="957" spans="1:11" s="21" customFormat="1" ht="19.95" customHeight="1" x14ac:dyDescent="0.25">
      <c r="A957" s="13" t="str">
        <f>"1000485"</f>
        <v>1000485</v>
      </c>
      <c r="B957" s="14" t="s">
        <v>1302</v>
      </c>
      <c r="C957" s="13" t="str">
        <f>"15.6"</f>
        <v>15.6</v>
      </c>
      <c r="D957" s="32">
        <f>(C957*1.24778761061)+(0.4)</f>
        <v>19.865486725516</v>
      </c>
      <c r="E957" s="33">
        <f>(C957*1.16814159292)+(-1)</f>
        <v>17.223008849552002</v>
      </c>
      <c r="F957" s="33">
        <f>(C957*1.1238938053)+(-4.4)</f>
        <v>13.132743362680001</v>
      </c>
      <c r="G957" s="33">
        <f>(C957*1.06194690265)+(-5.9)</f>
        <v>10.666371681339998</v>
      </c>
      <c r="H957" s="34">
        <f>(C957*1.19469026548)+(0)</f>
        <v>18.637168141488001</v>
      </c>
      <c r="I957" s="34">
        <f>(C957*1.16814159292)+(-2)</f>
        <v>16.223008849552002</v>
      </c>
      <c r="J957" s="34">
        <f>(C957*1.1238938053)+(-3.9)</f>
        <v>13.632743362680001</v>
      </c>
      <c r="K957" s="34">
        <f>(C957*1.07964601769)+(-5.6)</f>
        <v>11.242477875964001</v>
      </c>
    </row>
    <row r="958" spans="1:11" s="21" customFormat="1" ht="19.95" customHeight="1" x14ac:dyDescent="0.25">
      <c r="A958" s="13" t="str">
        <f>"74403"</f>
        <v>74403</v>
      </c>
      <c r="B958" s="14" t="s">
        <v>1303</v>
      </c>
      <c r="C958" s="13" t="str">
        <f>"16.9"</f>
        <v>16.9</v>
      </c>
      <c r="D958" s="32">
        <f>(C958*1.24778761061)+(0.4)</f>
        <v>21.487610619308999</v>
      </c>
      <c r="E958" s="33">
        <f>(C958*1.16814159292)+(-1)</f>
        <v>18.741592920348001</v>
      </c>
      <c r="F958" s="33">
        <f>(C958*1.1238938053)+(-4.4)</f>
        <v>14.59380530957</v>
      </c>
      <c r="G958" s="33">
        <f>(C958*1.06194690265)+(-5.9)</f>
        <v>12.046902654784995</v>
      </c>
      <c r="H958" s="34">
        <f>(C958*1.19469026548)+(0)</f>
        <v>20.190265486611999</v>
      </c>
      <c r="I958" s="34">
        <f>(C958*1.16814159292)+(-2)</f>
        <v>17.741592920348001</v>
      </c>
      <c r="J958" s="34">
        <f>(C958*1.1238938053)+(-3.9)</f>
        <v>15.09380530957</v>
      </c>
      <c r="K958" s="34">
        <f>(C958*1.07964601769)+(-5.6)</f>
        <v>12.646017698960998</v>
      </c>
    </row>
    <row r="959" spans="1:11" s="21" customFormat="1" ht="19.95" customHeight="1" x14ac:dyDescent="0.25">
      <c r="A959" s="13" t="str">
        <f>"16539"</f>
        <v>16539</v>
      </c>
      <c r="B959" s="14" t="s">
        <v>1304</v>
      </c>
      <c r="C959" s="13" t="str">
        <f>"29.3"</f>
        <v>29.3</v>
      </c>
      <c r="D959" s="32">
        <f>(C959*1.24778761061)+(0.4)</f>
        <v>36.960176990873002</v>
      </c>
      <c r="E959" s="33">
        <f>(C959*1.16814159292)+(-1)</f>
        <v>33.226548672556007</v>
      </c>
      <c r="F959" s="33">
        <f>(C959*1.1238938053)+(-4.4)</f>
        <v>28.530088495290002</v>
      </c>
      <c r="G959" s="33">
        <f>(C959*1.06194690265)+(-5.9)</f>
        <v>25.215044247644997</v>
      </c>
      <c r="H959" s="34">
        <f>(C959*1.19469026548)+(0)</f>
        <v>35.004424778564001</v>
      </c>
      <c r="I959" s="34">
        <f>(C959*1.16814159292)+(-2)</f>
        <v>32.226548672556007</v>
      </c>
      <c r="J959" s="34">
        <f>(C959*1.1238938053)+(-3.9)</f>
        <v>29.030088495290002</v>
      </c>
      <c r="K959" s="34">
        <f>(C959*1.07964601769)+(-5.6)</f>
        <v>26.033628318317</v>
      </c>
    </row>
    <row r="960" spans="1:11" s="21" customFormat="1" ht="19.95" customHeight="1" x14ac:dyDescent="0.25">
      <c r="A960" s="13" t="str">
        <f>"16532"</f>
        <v>16532</v>
      </c>
      <c r="B960" s="14" t="s">
        <v>1305</v>
      </c>
      <c r="C960" s="13" t="str">
        <f>"22.1"</f>
        <v>22.1</v>
      </c>
      <c r="D960" s="32">
        <f>(C960*1.24778761061)+(0.4)</f>
        <v>27.976106194481002</v>
      </c>
      <c r="E960" s="33">
        <f>(C960*1.16814159292)+(-1)</f>
        <v>24.815929203532004</v>
      </c>
      <c r="F960" s="33">
        <f>(C960*1.1238938053)+(-4.4)</f>
        <v>20.438053097130002</v>
      </c>
      <c r="G960" s="33">
        <f>(C960*1.06194690265)+(-5.9)</f>
        <v>17.569026548564999</v>
      </c>
      <c r="H960" s="34">
        <f>(C960*1.19469026548)+(0)</f>
        <v>26.402654867108001</v>
      </c>
      <c r="I960" s="34">
        <f>(C960*1.16814159292)+(-2)</f>
        <v>23.815929203532004</v>
      </c>
      <c r="J960" s="34">
        <f>(C960*1.1238938053)+(-3.9)</f>
        <v>20.938053097130005</v>
      </c>
      <c r="K960" s="34">
        <f>(C960*1.07964601769)+(-5.6)</f>
        <v>18.260176990948999</v>
      </c>
    </row>
    <row r="961" spans="1:11" s="21" customFormat="1" ht="19.95" customHeight="1" x14ac:dyDescent="0.25">
      <c r="A961" s="13" t="str">
        <f>"17719"</f>
        <v>17719</v>
      </c>
      <c r="B961" s="14" t="s">
        <v>1306</v>
      </c>
      <c r="C961" s="13" t="str">
        <f>"4.2"</f>
        <v>4.2</v>
      </c>
      <c r="D961" s="32">
        <f>(C961*1.24778761061)+(0.4)</f>
        <v>5.6407079645620009</v>
      </c>
      <c r="E961" s="33">
        <f>(C961*1.16814159292)+(-1)</f>
        <v>3.9061946902640008</v>
      </c>
      <c r="F961" s="33">
        <f>(C961*1.1238938053)+(-4.4)</f>
        <v>0.32035398226000034</v>
      </c>
      <c r="G961" s="33">
        <f>(C961*1.06194690265)+(-5.9)</f>
        <v>-1.4398230088700004</v>
      </c>
      <c r="H961" s="34">
        <f>(C961*1.19469026548)+(0)</f>
        <v>5.0176991150160006</v>
      </c>
      <c r="I961" s="34">
        <f>(C961*1.16814159292)+(-2)</f>
        <v>2.9061946902640008</v>
      </c>
      <c r="J961" s="34">
        <f>(C961*1.1238938053)+(-3.9)</f>
        <v>0.82035398226000078</v>
      </c>
      <c r="K961" s="34">
        <f>(C961*1.07964601769)+(-5.6)</f>
        <v>-1.0654867257019998</v>
      </c>
    </row>
    <row r="962" spans="1:11" s="21" customFormat="1" ht="19.95" customHeight="1" x14ac:dyDescent="0.25">
      <c r="A962" s="13" t="str">
        <f>"1017236"</f>
        <v>1017236</v>
      </c>
      <c r="B962" s="14" t="s">
        <v>1307</v>
      </c>
      <c r="C962" s="13" t="s">
        <v>76</v>
      </c>
      <c r="D962" s="32" t="s">
        <v>77</v>
      </c>
      <c r="E962" s="33" t="s">
        <v>77</v>
      </c>
      <c r="F962" s="33" t="s">
        <v>77</v>
      </c>
      <c r="G962" s="33" t="s">
        <v>77</v>
      </c>
      <c r="H962" s="34" t="s">
        <v>77</v>
      </c>
      <c r="I962" s="34" t="s">
        <v>77</v>
      </c>
      <c r="J962" s="34" t="s">
        <v>77</v>
      </c>
      <c r="K962" s="34" t="s">
        <v>77</v>
      </c>
    </row>
    <row r="963" spans="1:11" s="21" customFormat="1" ht="19.95" customHeight="1" x14ac:dyDescent="0.25">
      <c r="A963" s="13" t="str">
        <f>"1017237"</f>
        <v>1017237</v>
      </c>
      <c r="B963" s="14" t="s">
        <v>1308</v>
      </c>
      <c r="C963" s="13" t="s">
        <v>76</v>
      </c>
      <c r="D963" s="32" t="s">
        <v>77</v>
      </c>
      <c r="E963" s="33" t="s">
        <v>77</v>
      </c>
      <c r="F963" s="33" t="s">
        <v>77</v>
      </c>
      <c r="G963" s="33" t="s">
        <v>77</v>
      </c>
      <c r="H963" s="34" t="s">
        <v>77</v>
      </c>
      <c r="I963" s="34" t="s">
        <v>77</v>
      </c>
      <c r="J963" s="34" t="s">
        <v>77</v>
      </c>
      <c r="K963" s="34" t="s">
        <v>77</v>
      </c>
    </row>
    <row r="964" spans="1:11" s="21" customFormat="1" ht="19.95" customHeight="1" x14ac:dyDescent="0.25">
      <c r="A964" s="13" t="str">
        <f>"73409"</f>
        <v>73409</v>
      </c>
      <c r="B964" s="14" t="s">
        <v>1309</v>
      </c>
      <c r="C964" s="13" t="str">
        <f>"30.7"</f>
        <v>30.7</v>
      </c>
      <c r="D964" s="32">
        <f>(C964*1.24778761061)+(0.4)</f>
        <v>38.707079645726999</v>
      </c>
      <c r="E964" s="33">
        <f>(C964*1.16814159292)+(-1)</f>
        <v>34.861946902644</v>
      </c>
      <c r="F964" s="33">
        <f>(C964*1.1238938053)+(-4.4)</f>
        <v>30.103539822710005</v>
      </c>
      <c r="G964" s="33">
        <f>(C964*1.06194690265)+(-5.9)</f>
        <v>26.701769911355001</v>
      </c>
      <c r="H964" s="34">
        <f>(C964*1.19469026548)+(0)</f>
        <v>36.676991150235999</v>
      </c>
      <c r="I964" s="34">
        <f>(C964*1.16814159292)+(-2)</f>
        <v>33.861946902644</v>
      </c>
      <c r="J964" s="34">
        <f>(C964*1.1238938053)+(-3.9)</f>
        <v>30.603539822710005</v>
      </c>
      <c r="K964" s="34">
        <f>(C964*1.07964601769)+(-5.6)</f>
        <v>27.545132743082995</v>
      </c>
    </row>
    <row r="965" spans="1:11" s="21" customFormat="1" ht="19.95" customHeight="1" x14ac:dyDescent="0.25">
      <c r="A965" s="13" t="str">
        <f>"71782"</f>
        <v>71782</v>
      </c>
      <c r="B965" s="14" t="s">
        <v>1310</v>
      </c>
      <c r="C965" s="13" t="str">
        <f>"29.3000"</f>
        <v>29.3000</v>
      </c>
      <c r="D965" s="32">
        <f>(C965*1.24778761061)+(0.4)</f>
        <v>36.960176990873002</v>
      </c>
      <c r="E965" s="33">
        <f>(C965*1.16814159292)+(-1)</f>
        <v>33.226548672556007</v>
      </c>
      <c r="F965" s="33">
        <f>(C965*1.1238938053)+(-4.4)</f>
        <v>28.530088495290002</v>
      </c>
      <c r="G965" s="33">
        <f>(C965*1.06194690265)+(-5.9)</f>
        <v>25.215044247644997</v>
      </c>
      <c r="H965" s="34">
        <f>(C965*1.19469026548)+(0)</f>
        <v>35.004424778564001</v>
      </c>
      <c r="I965" s="34">
        <f>(C965*1.16814159292)+(-2)</f>
        <v>32.226548672556007</v>
      </c>
      <c r="J965" s="34">
        <f>(C965*1.1238938053)+(-3.9)</f>
        <v>29.030088495290002</v>
      </c>
      <c r="K965" s="34">
        <f>(C965*1.07964601769)+(-5.6)</f>
        <v>26.033628318317</v>
      </c>
    </row>
    <row r="966" spans="1:11" s="21" customFormat="1" ht="19.95" customHeight="1" x14ac:dyDescent="0.25">
      <c r="A966" s="13" t="str">
        <f>"16543"</f>
        <v>16543</v>
      </c>
      <c r="B966" s="14" t="s">
        <v>1311</v>
      </c>
      <c r="C966" s="13" t="str">
        <f>"28.6"</f>
        <v>28.6</v>
      </c>
      <c r="D966" s="32">
        <f>(C966*1.24778761061)+(0.4)</f>
        <v>36.086725663446003</v>
      </c>
      <c r="E966" s="33">
        <f>(C966*1.16814159292)+(-1)</f>
        <v>32.408849557512006</v>
      </c>
      <c r="F966" s="33">
        <f>(C966*1.1238938053)+(-4.4)</f>
        <v>27.743362831580008</v>
      </c>
      <c r="G966" s="33">
        <f>(C966*1.06194690265)+(-5.9)</f>
        <v>24.471681415790002</v>
      </c>
      <c r="H966" s="34">
        <f>(C966*1.19469026548)+(0)</f>
        <v>34.168141592727999</v>
      </c>
      <c r="I966" s="34">
        <f>(C966*1.16814159292)+(-2)</f>
        <v>31.408849557512006</v>
      </c>
      <c r="J966" s="34">
        <f>(C966*1.1238938053)+(-3.9)</f>
        <v>28.243362831580008</v>
      </c>
      <c r="K966" s="34">
        <f>(C966*1.07964601769)+(-5.6)</f>
        <v>25.277876105934006</v>
      </c>
    </row>
    <row r="967" spans="1:11" s="21" customFormat="1" ht="19.95" customHeight="1" x14ac:dyDescent="0.25">
      <c r="A967" s="13" t="str">
        <f>"3073"</f>
        <v>3073</v>
      </c>
      <c r="B967" s="14" t="s">
        <v>1312</v>
      </c>
      <c r="C967" s="13" t="str">
        <f>"11.3"</f>
        <v>11.3</v>
      </c>
      <c r="D967" s="32">
        <f>(C967*1.24778761061)+(0.4)</f>
        <v>14.499999999893003</v>
      </c>
      <c r="E967" s="33">
        <f>(C967*1.16814159292)+(-1)</f>
        <v>12.199999999996002</v>
      </c>
      <c r="F967" s="33">
        <f>(C967*1.1238938053)+(-4.4)</f>
        <v>8.2999999998900016</v>
      </c>
      <c r="G967" s="33">
        <f>(C967*1.06194690265)+(-5.9)</f>
        <v>6.0999999999450001</v>
      </c>
      <c r="H967" s="34">
        <f>(C967*1.19469026548)+(0)</f>
        <v>13.499999999924</v>
      </c>
      <c r="I967" s="34">
        <f>(C967*1.16814159292)+(-2)</f>
        <v>11.199999999996002</v>
      </c>
      <c r="J967" s="34">
        <f>(C967*1.1238938053)+(-3.9)</f>
        <v>8.7999999998900016</v>
      </c>
      <c r="K967" s="34">
        <f>(C967*1.07964601769)+(-5.6)</f>
        <v>6.5999999998970011</v>
      </c>
    </row>
    <row r="968" spans="1:11" s="21" customFormat="1" ht="19.95" customHeight="1" x14ac:dyDescent="0.25">
      <c r="A968" s="13" t="str">
        <f>"1002379"</f>
        <v>1002379</v>
      </c>
      <c r="B968" s="14" t="s">
        <v>1313</v>
      </c>
      <c r="C968" s="13" t="str">
        <f>"15.4"</f>
        <v>15.4</v>
      </c>
      <c r="D968" s="32">
        <f>(C968*1.24778761061)+(0.4)</f>
        <v>19.615929203394</v>
      </c>
      <c r="E968" s="33">
        <f>(C968*1.16814159292)+(-1)</f>
        <v>16.989380530968003</v>
      </c>
      <c r="F968" s="33">
        <f>(C968*1.1238938053)+(-4.4)</f>
        <v>12.90796460162</v>
      </c>
      <c r="G968" s="33">
        <f>(C968*1.06194690265)+(-5.9)</f>
        <v>10.453982300809999</v>
      </c>
      <c r="H968" s="34">
        <f>(C968*1.19469026548)+(0)</f>
        <v>18.398230088392001</v>
      </c>
      <c r="I968" s="34">
        <f>(C968*1.16814159292)+(-2)</f>
        <v>15.989380530968003</v>
      </c>
      <c r="J968" s="34">
        <f>(C968*1.1238938053)+(-3.9)</f>
        <v>13.40796460162</v>
      </c>
      <c r="K968" s="34">
        <f>(C968*1.07964601769)+(-5.6)</f>
        <v>11.026548672426001</v>
      </c>
    </row>
    <row r="969" spans="1:11" s="21" customFormat="1" ht="19.95" customHeight="1" x14ac:dyDescent="0.25">
      <c r="A969" s="13" t="str">
        <f>"77369"</f>
        <v>77369</v>
      </c>
      <c r="B969" s="14" t="s">
        <v>1314</v>
      </c>
      <c r="C969" s="13" t="str">
        <f>"27.6"</f>
        <v>27.6</v>
      </c>
      <c r="D969" s="32">
        <f>(C969*1.24778761061)+(0.4)</f>
        <v>34.838938052836006</v>
      </c>
      <c r="E969" s="33">
        <f>(C969*1.16814159292)+(-1)</f>
        <v>31.240707964592005</v>
      </c>
      <c r="F969" s="33">
        <f>(C969*1.1238938053)+(-4.4)</f>
        <v>26.619469026280001</v>
      </c>
      <c r="G969" s="33">
        <f>(C969*1.06194690265)+(-5.9)</f>
        <v>23.409734513140002</v>
      </c>
      <c r="H969" s="34">
        <f>(C969*1.19469026548)+(0)</f>
        <v>32.973451327248</v>
      </c>
      <c r="I969" s="34">
        <f>(C969*1.16814159292)+(-2)</f>
        <v>30.240707964592005</v>
      </c>
      <c r="J969" s="34">
        <f>(C969*1.1238938053)+(-3.9)</f>
        <v>27.119469026280004</v>
      </c>
      <c r="K969" s="34">
        <f>(C969*1.07964601769)+(-5.6)</f>
        <v>24.198230088244003</v>
      </c>
    </row>
    <row r="970" spans="1:11" s="21" customFormat="1" ht="19.95" customHeight="1" x14ac:dyDescent="0.25">
      <c r="A970" s="13" t="str">
        <f>"1016928"</f>
        <v>1016928</v>
      </c>
      <c r="B970" s="14" t="s">
        <v>1315</v>
      </c>
      <c r="C970" s="13" t="s">
        <v>76</v>
      </c>
      <c r="D970" s="32" t="s">
        <v>77</v>
      </c>
      <c r="E970" s="33" t="s">
        <v>77</v>
      </c>
      <c r="F970" s="33" t="s">
        <v>77</v>
      </c>
      <c r="G970" s="33" t="s">
        <v>77</v>
      </c>
      <c r="H970" s="34" t="s">
        <v>77</v>
      </c>
      <c r="I970" s="34" t="s">
        <v>77</v>
      </c>
      <c r="J970" s="34" t="s">
        <v>77</v>
      </c>
      <c r="K970" s="34" t="s">
        <v>77</v>
      </c>
    </row>
    <row r="971" spans="1:11" s="21" customFormat="1" ht="19.95" customHeight="1" x14ac:dyDescent="0.25">
      <c r="A971" s="13" t="str">
        <f>"16546"</f>
        <v>16546</v>
      </c>
      <c r="B971" s="14" t="s">
        <v>1316</v>
      </c>
      <c r="C971" s="13" t="str">
        <f>"13.3"</f>
        <v>13.3</v>
      </c>
      <c r="D971" s="32">
        <f>(C971*1.24778761061)+(0.4)</f>
        <v>16.995575221113</v>
      </c>
      <c r="E971" s="33">
        <f>(C971*1.16814159292)+(-1)</f>
        <v>14.536283185836002</v>
      </c>
      <c r="F971" s="33">
        <f>(C971*1.1238938053)+(-4.4)</f>
        <v>10.547787610490001</v>
      </c>
      <c r="G971" s="33">
        <f>(C971*1.06194690265)+(-5.9)</f>
        <v>8.2238938052449999</v>
      </c>
      <c r="H971" s="34">
        <f>(C971*1.19469026548)+(0)</f>
        <v>15.889380530884001</v>
      </c>
      <c r="I971" s="34">
        <f>(C971*1.16814159292)+(-2)</f>
        <v>13.536283185836002</v>
      </c>
      <c r="J971" s="34">
        <f>(C971*1.1238938053)+(-3.9)</f>
        <v>11.047787610490001</v>
      </c>
      <c r="K971" s="34">
        <f>(C971*1.07964601769)+(-5.6)</f>
        <v>8.7592920352770012</v>
      </c>
    </row>
    <row r="972" spans="1:11" s="21" customFormat="1" ht="19.95" customHeight="1" x14ac:dyDescent="0.25">
      <c r="A972" s="13" t="str">
        <f>"43538"</f>
        <v>43538</v>
      </c>
      <c r="B972" s="14" t="s">
        <v>1317</v>
      </c>
      <c r="C972" s="13" t="str">
        <f>"34.9"</f>
        <v>34.9</v>
      </c>
      <c r="D972" s="32">
        <f>(C972*1.24778761061)+(0.4)</f>
        <v>43.947787610288998</v>
      </c>
      <c r="E972" s="33">
        <f>(C972*1.16814159292)+(-1)</f>
        <v>39.768141592908002</v>
      </c>
      <c r="F972" s="33">
        <f>(C972*1.1238938053)+(-4.4)</f>
        <v>34.823893804969998</v>
      </c>
      <c r="G972" s="33">
        <f>(C972*1.06194690265)+(-5.9)</f>
        <v>31.161946902484999</v>
      </c>
      <c r="H972" s="34">
        <f>(C972*1.19469026548)+(0)</f>
        <v>41.694690265252</v>
      </c>
      <c r="I972" s="34">
        <f>(C972*1.16814159292)+(-2)</f>
        <v>38.768141592908002</v>
      </c>
      <c r="J972" s="34">
        <f>(C972*1.1238938053)+(-3.9)</f>
        <v>35.323893804969998</v>
      </c>
      <c r="K972" s="34">
        <f>(C972*1.07964601769)+(-5.6)</f>
        <v>32.079646017380995</v>
      </c>
    </row>
    <row r="973" spans="1:11" s="21" customFormat="1" ht="19.95" customHeight="1" x14ac:dyDescent="0.25">
      <c r="A973" s="13" t="str">
        <f>"16549"</f>
        <v>16549</v>
      </c>
      <c r="B973" s="14" t="s">
        <v>1318</v>
      </c>
      <c r="C973" s="13" t="str">
        <f>"27.5"</f>
        <v>27.5</v>
      </c>
      <c r="D973" s="32">
        <f>(C973*1.24778761061)+(0.4)</f>
        <v>34.714159291775005</v>
      </c>
      <c r="E973" s="33">
        <f>(C973*1.16814159292)+(-1)</f>
        <v>31.1238938053</v>
      </c>
      <c r="F973" s="33">
        <f>(C973*1.1238938053)+(-4.4)</f>
        <v>26.507079645750004</v>
      </c>
      <c r="G973" s="33">
        <f>(C973*1.06194690265)+(-5.9)</f>
        <v>23.303539822874995</v>
      </c>
      <c r="H973" s="34">
        <f>(C973*1.19469026548)+(0)</f>
        <v>32.853982300700004</v>
      </c>
      <c r="I973" s="34">
        <f>(C973*1.16814159292)+(-2)</f>
        <v>30.1238938053</v>
      </c>
      <c r="J973" s="34">
        <f>(C973*1.1238938053)+(-3.9)</f>
        <v>27.007079645750004</v>
      </c>
      <c r="K973" s="34">
        <f>(C973*1.07964601769)+(-5.6)</f>
        <v>24.090265486474998</v>
      </c>
    </row>
    <row r="974" spans="1:11" s="21" customFormat="1" ht="19.95" customHeight="1" x14ac:dyDescent="0.25">
      <c r="A974" s="13" t="str">
        <f>"1002542"</f>
        <v>1002542</v>
      </c>
      <c r="B974" s="14" t="s">
        <v>1319</v>
      </c>
      <c r="C974" s="13" t="str">
        <f>"8.6"</f>
        <v>8.6</v>
      </c>
      <c r="D974" s="32">
        <f>(C974*1.24778761061)+(0.4)</f>
        <v>11.130973451246001</v>
      </c>
      <c r="E974" s="33">
        <f>(C974*1.16814159292)+(-1)</f>
        <v>9.0460176991120012</v>
      </c>
      <c r="F974" s="33">
        <f>(C974*1.1238938053)+(-4.4)</f>
        <v>5.2654867255799989</v>
      </c>
      <c r="G974" s="33">
        <f>(C974*1.06194690265)+(-5.9)</f>
        <v>3.2327433627899982</v>
      </c>
      <c r="H974" s="34">
        <f>(C974*1.19469026548)+(0)</f>
        <v>10.274336283127999</v>
      </c>
      <c r="I974" s="34">
        <f>(C974*1.16814159292)+(-2)</f>
        <v>8.0460176991120012</v>
      </c>
      <c r="J974" s="34">
        <f>(C974*1.1238938053)+(-3.9)</f>
        <v>5.7654867255799989</v>
      </c>
      <c r="K974" s="34">
        <f>(C974*1.07964601769)+(-5.6)</f>
        <v>3.684955752134</v>
      </c>
    </row>
    <row r="975" spans="1:11" s="21" customFormat="1" ht="19.95" customHeight="1" x14ac:dyDescent="0.25">
      <c r="A975" s="13" t="str">
        <f>"3400"</f>
        <v>3400</v>
      </c>
      <c r="B975" s="14" t="s">
        <v>1320</v>
      </c>
      <c r="C975" s="13" t="str">
        <f>"22.2"</f>
        <v>22.2</v>
      </c>
      <c r="D975" s="32">
        <f>(C975*1.24778761061)+(0.4)</f>
        <v>28.100884955542</v>
      </c>
      <c r="E975" s="33">
        <f>(C975*1.16814159292)+(-1)</f>
        <v>24.932743362824002</v>
      </c>
      <c r="F975" s="33">
        <f>(C975*1.1238938053)+(-4.4)</f>
        <v>20.550442477659999</v>
      </c>
      <c r="G975" s="33">
        <f>(C975*1.06194690265)+(-5.9)</f>
        <v>17.675221238829998</v>
      </c>
      <c r="H975" s="34">
        <f>(C975*1.19469026548)+(0)</f>
        <v>26.522123893655998</v>
      </c>
      <c r="I975" s="34">
        <f>(C975*1.16814159292)+(-2)</f>
        <v>23.932743362824002</v>
      </c>
      <c r="J975" s="34">
        <f>(C975*1.1238938053)+(-3.9)</f>
        <v>21.050442477660003</v>
      </c>
      <c r="K975" s="34">
        <f>(C975*1.07964601769)+(-5.6)</f>
        <v>18.368141592717997</v>
      </c>
    </row>
    <row r="976" spans="1:11" s="21" customFormat="1" ht="19.95" customHeight="1" x14ac:dyDescent="0.25">
      <c r="A976" s="13" t="str">
        <f>"1007165"</f>
        <v>1007165</v>
      </c>
      <c r="B976" s="14" t="s">
        <v>1321</v>
      </c>
      <c r="C976" s="13" t="str">
        <f>"16.4"</f>
        <v>16.4</v>
      </c>
      <c r="D976" s="32">
        <f>(C976*1.24778761061)+(0.4)</f>
        <v>20.863716814003997</v>
      </c>
      <c r="E976" s="33">
        <f>(C976*1.16814159292)+(-1)</f>
        <v>18.157522123888</v>
      </c>
      <c r="F976" s="33">
        <f>(C976*1.1238938053)+(-4.4)</f>
        <v>14.03185840692</v>
      </c>
      <c r="G976" s="33">
        <f>(C976*1.06194690265)+(-5.9)</f>
        <v>11.515929203459995</v>
      </c>
      <c r="H976" s="34">
        <f>(C976*1.19469026548)+(0)</f>
        <v>19.592920353872</v>
      </c>
      <c r="I976" s="34">
        <f>(C976*1.16814159292)+(-2)</f>
        <v>17.157522123888</v>
      </c>
      <c r="J976" s="34">
        <f>(C976*1.1238938053)+(-3.9)</f>
        <v>14.53185840692</v>
      </c>
      <c r="K976" s="34">
        <f>(C976*1.07964601769)+(-5.6)</f>
        <v>12.106194690116</v>
      </c>
    </row>
    <row r="977" spans="1:11" s="21" customFormat="1" ht="19.95" customHeight="1" x14ac:dyDescent="0.25">
      <c r="A977" s="13" t="str">
        <f>"16559"</f>
        <v>16559</v>
      </c>
      <c r="B977" s="14" t="s">
        <v>1322</v>
      </c>
      <c r="C977" s="13" t="str">
        <f>"17.4"</f>
        <v>17.4</v>
      </c>
      <c r="D977" s="32">
        <f>(C977*1.24778761061)+(0.4)</f>
        <v>22.111504424613997</v>
      </c>
      <c r="E977" s="33">
        <f>(C977*1.16814159292)+(-1)</f>
        <v>19.325663716807998</v>
      </c>
      <c r="F977" s="33">
        <f>(C977*1.1238938053)+(-4.4)</f>
        <v>15.155752212219999</v>
      </c>
      <c r="G977" s="33">
        <f>(C977*1.06194690265)+(-5.9)</f>
        <v>12.577876106109995</v>
      </c>
      <c r="H977" s="34">
        <f>(C977*1.19469026548)+(0)</f>
        <v>20.787610619351998</v>
      </c>
      <c r="I977" s="34">
        <f>(C977*1.16814159292)+(-2)</f>
        <v>18.325663716807998</v>
      </c>
      <c r="J977" s="34">
        <f>(C977*1.1238938053)+(-3.9)</f>
        <v>15.655752212219999</v>
      </c>
      <c r="K977" s="34">
        <f>(C977*1.07964601769)+(-5.6)</f>
        <v>13.185840707805999</v>
      </c>
    </row>
    <row r="978" spans="1:11" s="21" customFormat="1" ht="19.95" customHeight="1" x14ac:dyDescent="0.25">
      <c r="A978" s="13" t="str">
        <f>"23445"</f>
        <v>23445</v>
      </c>
      <c r="B978" s="14" t="s">
        <v>1323</v>
      </c>
      <c r="C978" s="13" t="str">
        <f>"19.4"</f>
        <v>19.4</v>
      </c>
      <c r="D978" s="32">
        <f>(C978*1.24778761061)+(0.4)</f>
        <v>24.607079645833998</v>
      </c>
      <c r="E978" s="33">
        <f>(C978*1.16814159292)+(-1)</f>
        <v>21.661946902648001</v>
      </c>
      <c r="F978" s="33">
        <f>(C978*1.1238938053)+(-4.4)</f>
        <v>17.403539822820001</v>
      </c>
      <c r="G978" s="33">
        <f>(C978*1.06194690265)+(-5.9)</f>
        <v>14.701769911409995</v>
      </c>
      <c r="H978" s="34">
        <f>(C978*1.19469026548)+(0)</f>
        <v>23.176991150311999</v>
      </c>
      <c r="I978" s="34">
        <f>(C978*1.16814159292)+(-2)</f>
        <v>20.661946902648001</v>
      </c>
      <c r="J978" s="34">
        <f>(C978*1.1238938053)+(-3.9)</f>
        <v>17.903539822820001</v>
      </c>
      <c r="K978" s="34">
        <f>(C978*1.07964601769)+(-5.6)</f>
        <v>15.345132743185998</v>
      </c>
    </row>
    <row r="979" spans="1:11" s="21" customFormat="1" ht="19.95" customHeight="1" x14ac:dyDescent="0.25">
      <c r="A979" s="13" t="str">
        <f>"16563"</f>
        <v>16563</v>
      </c>
      <c r="B979" s="14" t="s">
        <v>1324</v>
      </c>
      <c r="C979" s="13" t="str">
        <f>"21.5"</f>
        <v>21.5</v>
      </c>
      <c r="D979" s="32">
        <f>(C979*1.24778761061)+(0.4)</f>
        <v>27.227433628115001</v>
      </c>
      <c r="E979" s="33">
        <f>(C979*1.16814159292)+(-1)</f>
        <v>24.115044247780002</v>
      </c>
      <c r="F979" s="33">
        <f>(C979*1.1238938053)+(-4.4)</f>
        <v>19.763716813949998</v>
      </c>
      <c r="G979" s="33">
        <f>(C979*1.06194690265)+(-5.9)</f>
        <v>16.931858406974996</v>
      </c>
      <c r="H979" s="34">
        <f>(C979*1.19469026548)+(0)</f>
        <v>25.685840707819999</v>
      </c>
      <c r="I979" s="34">
        <f>(C979*1.16814159292)+(-2)</f>
        <v>23.115044247780002</v>
      </c>
      <c r="J979" s="34">
        <f>(C979*1.1238938053)+(-3.9)</f>
        <v>20.263716813950001</v>
      </c>
      <c r="K979" s="34">
        <f>(C979*1.07964601769)+(-5.6)</f>
        <v>17.612389380335003</v>
      </c>
    </row>
    <row r="980" spans="1:11" s="21" customFormat="1" ht="19.95" customHeight="1" x14ac:dyDescent="0.25">
      <c r="A980" s="13" t="str">
        <f>"1013591"</f>
        <v>1013591</v>
      </c>
      <c r="B980" s="14" t="s">
        <v>1325</v>
      </c>
      <c r="C980" s="13" t="str">
        <f>"26.0"</f>
        <v>26.0</v>
      </c>
      <c r="D980" s="32">
        <f>(C980*1.24778761061)+(0.4)</f>
        <v>32.842477875859998</v>
      </c>
      <c r="E980" s="33">
        <f>(C980*1.16814159292)+(-1)</f>
        <v>29.371681415920001</v>
      </c>
      <c r="F980" s="33">
        <f>(C980*1.1238938053)+(-4.4)</f>
        <v>24.821238937800004</v>
      </c>
      <c r="G980" s="33">
        <f>(C980*1.06194690265)+(-5.9)</f>
        <v>21.710619468899999</v>
      </c>
      <c r="H980" s="34">
        <f>(C980*1.19469026548)+(0)</f>
        <v>31.061946902479999</v>
      </c>
      <c r="I980" s="34">
        <f>(C980*1.16814159292)+(-2)</f>
        <v>28.371681415920001</v>
      </c>
      <c r="J980" s="34">
        <f>(C980*1.1238938053)+(-3.9)</f>
        <v>25.321238937800004</v>
      </c>
      <c r="K980" s="34">
        <f>(C980*1.07964601769)+(-5.6)</f>
        <v>22.470796459939997</v>
      </c>
    </row>
    <row r="981" spans="1:11" s="21" customFormat="1" ht="19.95" customHeight="1" x14ac:dyDescent="0.25">
      <c r="A981" s="13" t="str">
        <f>"48467"</f>
        <v>48467</v>
      </c>
      <c r="B981" s="14" t="s">
        <v>1326</v>
      </c>
      <c r="C981" s="13" t="str">
        <f>"18.5"</f>
        <v>18.5</v>
      </c>
      <c r="D981" s="32">
        <f>(C981*1.24778761061)+(0.4)</f>
        <v>23.484070796285</v>
      </c>
      <c r="E981" s="33">
        <f>(C981*1.16814159292)+(-1)</f>
        <v>20.610619469020001</v>
      </c>
      <c r="F981" s="33">
        <f>(C981*1.1238938053)+(-4.4)</f>
        <v>16.392035398049998</v>
      </c>
      <c r="G981" s="33">
        <f>(C981*1.06194690265)+(-5.9)</f>
        <v>13.746017699024998</v>
      </c>
      <c r="H981" s="34">
        <f>(C981*1.19469026548)+(0)</f>
        <v>22.10176991138</v>
      </c>
      <c r="I981" s="34">
        <f>(C981*1.16814159292)+(-2)</f>
        <v>19.610619469020001</v>
      </c>
      <c r="J981" s="34">
        <f>(C981*1.1238938053)+(-3.9)</f>
        <v>16.892035398050002</v>
      </c>
      <c r="K981" s="34">
        <f>(C981*1.07964601769)+(-5.6)</f>
        <v>14.373451327265</v>
      </c>
    </row>
    <row r="982" spans="1:11" s="21" customFormat="1" ht="19.95" customHeight="1" x14ac:dyDescent="0.25">
      <c r="A982" s="13" t="str">
        <f>"70322"</f>
        <v>70322</v>
      </c>
      <c r="B982" s="14" t="s">
        <v>1327</v>
      </c>
      <c r="C982" s="13" t="str">
        <f>"5.0"</f>
        <v>5.0</v>
      </c>
      <c r="D982" s="32">
        <f>(C982*1.24778761061)+(0.4)</f>
        <v>6.6389380530500013</v>
      </c>
      <c r="E982" s="33">
        <f>(C982*1.16814159292)+(-1)</f>
        <v>4.8407079646</v>
      </c>
      <c r="F982" s="33">
        <f>(C982*1.1238938053)+(-4.4)</f>
        <v>1.2194690264999997</v>
      </c>
      <c r="G982" s="33">
        <f>(C982*1.06194690265)+(-5.9)</f>
        <v>-0.59026548675000079</v>
      </c>
      <c r="H982" s="34">
        <f>(C982*1.19469026548)+(0)</f>
        <v>5.9734513274000003</v>
      </c>
      <c r="I982" s="34">
        <f>(C982*1.16814159292)+(-2)</f>
        <v>3.8407079646</v>
      </c>
      <c r="J982" s="34">
        <f>(C982*1.1238938053)+(-3.9)</f>
        <v>1.7194690265000001</v>
      </c>
      <c r="K982" s="34">
        <f>(C982*1.07964601769)+(-5.6)</f>
        <v>-0.20176991154999957</v>
      </c>
    </row>
    <row r="983" spans="1:11" s="21" customFormat="1" ht="19.95" customHeight="1" x14ac:dyDescent="0.25">
      <c r="A983" s="13" t="str">
        <f>"22830"</f>
        <v>22830</v>
      </c>
      <c r="B983" s="14" t="s">
        <v>1328</v>
      </c>
      <c r="C983" s="13" t="str">
        <f>"12.8"</f>
        <v>12.8</v>
      </c>
      <c r="D983" s="32">
        <f>(C983*1.24778761061)+(0.4)</f>
        <v>16.371681415808002</v>
      </c>
      <c r="E983" s="33">
        <f>(C983*1.16814159292)+(-1)</f>
        <v>13.952212389376001</v>
      </c>
      <c r="F983" s="33">
        <f>(C983*1.1238938053)+(-4.4)</f>
        <v>9.9858407078400013</v>
      </c>
      <c r="G983" s="33">
        <f>(C983*1.06194690265)+(-5.9)</f>
        <v>7.69292035392</v>
      </c>
      <c r="H983" s="34">
        <f>(C983*1.19469026548)+(0)</f>
        <v>15.292035398144002</v>
      </c>
      <c r="I983" s="34">
        <f>(C983*1.16814159292)+(-2)</f>
        <v>12.952212389376001</v>
      </c>
      <c r="J983" s="34">
        <f>(C983*1.1238938053)+(-3.9)</f>
        <v>10.485840707840001</v>
      </c>
      <c r="K983" s="34">
        <f>(C983*1.07964601769)+(-5.6)</f>
        <v>8.2194690264320016</v>
      </c>
    </row>
    <row r="984" spans="1:11" s="21" customFormat="1" ht="19.95" customHeight="1" x14ac:dyDescent="0.25">
      <c r="A984" s="13" t="str">
        <f>"18380"</f>
        <v>18380</v>
      </c>
      <c r="B984" s="14" t="s">
        <v>1329</v>
      </c>
      <c r="C984" s="13" t="str">
        <f>"13.8"</f>
        <v>13.8</v>
      </c>
      <c r="D984" s="32">
        <f>(C984*1.24778761061)+(0.4)</f>
        <v>17.619469026418002</v>
      </c>
      <c r="E984" s="33">
        <f>(C984*1.16814159292)+(-1)</f>
        <v>15.120353982296002</v>
      </c>
      <c r="F984" s="33">
        <f>(C984*1.1238938053)+(-4.4)</f>
        <v>11.109734513140001</v>
      </c>
      <c r="G984" s="33">
        <f>(C984*1.06194690265)+(-5.9)</f>
        <v>8.7548672565699999</v>
      </c>
      <c r="H984" s="34">
        <f>(C984*1.19469026548)+(0)</f>
        <v>16.486725663624</v>
      </c>
      <c r="I984" s="34">
        <f>(C984*1.16814159292)+(-2)</f>
        <v>14.120353982296002</v>
      </c>
      <c r="J984" s="34">
        <f>(C984*1.1238938053)+(-3.9)</f>
        <v>11.609734513140001</v>
      </c>
      <c r="K984" s="34">
        <f>(C984*1.07964601769)+(-5.6)</f>
        <v>9.2991150441220007</v>
      </c>
    </row>
    <row r="985" spans="1:11" s="21" customFormat="1" ht="19.95" customHeight="1" x14ac:dyDescent="0.25">
      <c r="A985" s="13" t="str">
        <f>"16572"</f>
        <v>16572</v>
      </c>
      <c r="B985" s="14" t="s">
        <v>1330</v>
      </c>
      <c r="C985" s="13" t="str">
        <f>"28.3"</f>
        <v>28.3</v>
      </c>
      <c r="D985" s="32">
        <f>(C985*1.24778761061)+(0.4)</f>
        <v>35.712389380263005</v>
      </c>
      <c r="E985" s="33">
        <f>(C985*1.16814159292)+(-1)</f>
        <v>32.058407079636005</v>
      </c>
      <c r="F985" s="33">
        <f>(C985*1.1238938053)+(-4.4)</f>
        <v>27.406194689990002</v>
      </c>
      <c r="G985" s="33">
        <f>(C985*1.06194690265)+(-5.9)</f>
        <v>24.153097344994997</v>
      </c>
      <c r="H985" s="34">
        <f>(C985*1.19469026548)+(0)</f>
        <v>33.809734513084003</v>
      </c>
      <c r="I985" s="34">
        <f>(C985*1.16814159292)+(-2)</f>
        <v>31.058407079636005</v>
      </c>
      <c r="J985" s="34">
        <f>(C985*1.1238938053)+(-3.9)</f>
        <v>27.906194689990002</v>
      </c>
      <c r="K985" s="34">
        <f>(C985*1.07964601769)+(-5.6)</f>
        <v>24.953982300627004</v>
      </c>
    </row>
    <row r="986" spans="1:11" s="21" customFormat="1" ht="19.95" customHeight="1" x14ac:dyDescent="0.25">
      <c r="A986" s="13" t="str">
        <f>"6871"</f>
        <v>6871</v>
      </c>
      <c r="B986" s="14" t="s">
        <v>1331</v>
      </c>
      <c r="C986" s="13" t="str">
        <f>"16.6"</f>
        <v>16.6</v>
      </c>
      <c r="D986" s="32">
        <f>(C986*1.24778761061)+(0.4)</f>
        <v>21.113274336126</v>
      </c>
      <c r="E986" s="33">
        <f>(C986*1.16814159292)+(-1)</f>
        <v>18.391150442472004</v>
      </c>
      <c r="F986" s="33">
        <f>(C986*1.1238938053)+(-4.4)</f>
        <v>14.256637167980001</v>
      </c>
      <c r="G986" s="33">
        <f>(C986*1.06194690265)+(-5.9)</f>
        <v>11.728318583990001</v>
      </c>
      <c r="H986" s="34">
        <f>(C986*1.19469026548)+(0)</f>
        <v>19.831858406968003</v>
      </c>
      <c r="I986" s="34">
        <f>(C986*1.16814159292)+(-2)</f>
        <v>17.391150442472004</v>
      </c>
      <c r="J986" s="34">
        <f>(C986*1.1238938053)+(-3.9)</f>
        <v>14.756637167980001</v>
      </c>
      <c r="K986" s="34">
        <f>(C986*1.07964601769)+(-5.6)</f>
        <v>12.322123893654004</v>
      </c>
    </row>
    <row r="987" spans="1:11" s="21" customFormat="1" ht="19.95" customHeight="1" x14ac:dyDescent="0.25">
      <c r="A987" s="13" t="str">
        <f>"3118"</f>
        <v>3118</v>
      </c>
      <c r="B987" s="14" t="s">
        <v>1332</v>
      </c>
      <c r="C987" s="13" t="str">
        <f>"15.3"</f>
        <v>15.3</v>
      </c>
      <c r="D987" s="32">
        <f>(C987*1.24778761061)+(0.4)</f>
        <v>19.491150442333002</v>
      </c>
      <c r="E987" s="33">
        <f>(C987*1.16814159292)+(-1)</f>
        <v>16.872566371676001</v>
      </c>
      <c r="F987" s="33">
        <f>(C987*1.1238938053)+(-4.4)</f>
        <v>12.795575221090003</v>
      </c>
      <c r="G987" s="33">
        <f>(C987*1.06194690265)+(-5.9)</f>
        <v>10.347787610545</v>
      </c>
      <c r="H987" s="34">
        <f>(C987*1.19469026548)+(0)</f>
        <v>18.278761061844001</v>
      </c>
      <c r="I987" s="34">
        <f>(C987*1.16814159292)+(-2)</f>
        <v>15.872566371676001</v>
      </c>
      <c r="J987" s="34">
        <f>(C987*1.1238938053)+(-3.9)</f>
        <v>13.295575221090003</v>
      </c>
      <c r="K987" s="34">
        <f>(C987*1.07964601769)+(-5.6)</f>
        <v>10.918584070657003</v>
      </c>
    </row>
    <row r="988" spans="1:11" s="21" customFormat="1" ht="19.95" customHeight="1" x14ac:dyDescent="0.25">
      <c r="A988" s="13" t="str">
        <f>"1002500"</f>
        <v>1002500</v>
      </c>
      <c r="B988" s="14" t="s">
        <v>1333</v>
      </c>
      <c r="C988" s="13" t="str">
        <f>"24.4"</f>
        <v>24.4</v>
      </c>
      <c r="D988" s="32">
        <f>(C988*1.24778761061)+(0.4)</f>
        <v>30.846017698883998</v>
      </c>
      <c r="E988" s="33">
        <f>(C988*1.16814159292)+(-1)</f>
        <v>27.502654867248001</v>
      </c>
      <c r="F988" s="33">
        <f>(C988*1.1238938053)+(-4.4)</f>
        <v>23.02300884932</v>
      </c>
      <c r="G988" s="33">
        <f>(C988*1.06194690265)+(-5.9)</f>
        <v>20.011504424659996</v>
      </c>
      <c r="H988" s="34">
        <f>(C988*1.19469026548)+(0)</f>
        <v>29.150442477711998</v>
      </c>
      <c r="I988" s="34">
        <f>(C988*1.16814159292)+(-2)</f>
        <v>26.502654867248001</v>
      </c>
      <c r="J988" s="34">
        <f>(C988*1.1238938053)+(-3.9)</f>
        <v>23.52300884932</v>
      </c>
      <c r="K988" s="34">
        <f>(C988*1.07964601769)+(-5.6)</f>
        <v>20.743362831635999</v>
      </c>
    </row>
    <row r="989" spans="1:11" s="21" customFormat="1" ht="19.95" customHeight="1" x14ac:dyDescent="0.25">
      <c r="A989" s="13" t="str">
        <f>"1772"</f>
        <v>1772</v>
      </c>
      <c r="B989" s="14" t="s">
        <v>1334</v>
      </c>
      <c r="C989" s="13" t="str">
        <f>"25.9"</f>
        <v>25.9</v>
      </c>
      <c r="D989" s="32">
        <f>(C989*1.24778761061)+(0.4)</f>
        <v>32.717699114798997</v>
      </c>
      <c r="E989" s="33">
        <f>(C989*1.16814159292)+(-1)</f>
        <v>29.254867256628</v>
      </c>
      <c r="F989" s="33">
        <f>(C989*1.1238938053)+(-4.4)</f>
        <v>24.70884955727</v>
      </c>
      <c r="G989" s="33">
        <f>(C989*1.06194690265)+(-5.9)</f>
        <v>21.604424778634993</v>
      </c>
      <c r="H989" s="34">
        <f>(C989*1.19469026548)+(0)</f>
        <v>30.942477875931999</v>
      </c>
      <c r="I989" s="34">
        <f>(C989*1.16814159292)+(-2)</f>
        <v>28.254867256628</v>
      </c>
      <c r="J989" s="34">
        <f>(C989*1.1238938053)+(-3.9)</f>
        <v>25.20884955727</v>
      </c>
      <c r="K989" s="34">
        <f>(C989*1.07964601769)+(-5.6)</f>
        <v>22.362831858170999</v>
      </c>
    </row>
    <row r="990" spans="1:11" s="21" customFormat="1" ht="19.95" customHeight="1" x14ac:dyDescent="0.25">
      <c r="A990" s="13" t="str">
        <f>"19470"</f>
        <v>19470</v>
      </c>
      <c r="B990" s="14" t="s">
        <v>1335</v>
      </c>
      <c r="C990" s="13" t="str">
        <f>"12.1"</f>
        <v>12.1</v>
      </c>
      <c r="D990" s="32">
        <f>(C990*1.24778761061)+(0.4)</f>
        <v>15.498230088381002</v>
      </c>
      <c r="E990" s="33">
        <f>(C990*1.16814159292)+(-1)</f>
        <v>13.134513274332001</v>
      </c>
      <c r="F990" s="33">
        <f>(C990*1.1238938053)+(-4.4)</f>
        <v>9.19911504413</v>
      </c>
      <c r="G990" s="33">
        <f>(C990*1.06194690265)+(-5.9)</f>
        <v>6.9495575220649979</v>
      </c>
      <c r="H990" s="34">
        <f>(C990*1.19469026548)+(0)</f>
        <v>14.455752212307999</v>
      </c>
      <c r="I990" s="34">
        <f>(C990*1.16814159292)+(-2)</f>
        <v>12.134513274332001</v>
      </c>
      <c r="J990" s="34">
        <f>(C990*1.1238938053)+(-3.9)</f>
        <v>9.69911504413</v>
      </c>
      <c r="K990" s="34">
        <f>(C990*1.07964601769)+(-5.6)</f>
        <v>7.4637168140490004</v>
      </c>
    </row>
    <row r="991" spans="1:11" s="21" customFormat="1" ht="19.95" customHeight="1" x14ac:dyDescent="0.25">
      <c r="A991" s="13" t="str">
        <f>"16575"</f>
        <v>16575</v>
      </c>
      <c r="B991" s="14" t="s">
        <v>1336</v>
      </c>
      <c r="C991" s="13" t="str">
        <f>"26.6000"</f>
        <v>26.6000</v>
      </c>
      <c r="D991" s="32">
        <f>(C991*1.24778761061)+(0.4)</f>
        <v>33.591150442226002</v>
      </c>
      <c r="E991" s="33">
        <f>(C991*1.16814159292)+(-1)</f>
        <v>30.072566371672004</v>
      </c>
      <c r="F991" s="33">
        <f>(C991*1.1238938053)+(-4.4)</f>
        <v>25.495575220980001</v>
      </c>
      <c r="G991" s="33">
        <f>(C991*1.06194690265)+(-5.9)</f>
        <v>22.347787610490002</v>
      </c>
      <c r="H991" s="34">
        <f>(C991*1.19469026548)+(0)</f>
        <v>31.778761061768002</v>
      </c>
      <c r="I991" s="34">
        <f>(C991*1.16814159292)+(-2)</f>
        <v>29.072566371672004</v>
      </c>
      <c r="J991" s="34">
        <f>(C991*1.1238938053)+(-3.9)</f>
        <v>25.995575220980005</v>
      </c>
      <c r="K991" s="34">
        <f>(C991*1.07964601769)+(-5.6)</f>
        <v>23.118584070554</v>
      </c>
    </row>
    <row r="992" spans="1:11" s="21" customFormat="1" ht="19.95" customHeight="1" x14ac:dyDescent="0.25">
      <c r="A992" s="13" t="str">
        <f>"1006122"</f>
        <v>1006122</v>
      </c>
      <c r="B992" s="14" t="s">
        <v>1337</v>
      </c>
      <c r="C992" s="13" t="str">
        <f>"33.1"</f>
        <v>33.1</v>
      </c>
      <c r="D992" s="32">
        <f>(C992*1.24778761061)+(0.4)</f>
        <v>41.701769911191001</v>
      </c>
      <c r="E992" s="33">
        <f>(C992*1.16814159292)+(-1)</f>
        <v>37.665486725652002</v>
      </c>
      <c r="F992" s="33">
        <f>(C992*1.1238938053)+(-4.4)</f>
        <v>32.800884955430007</v>
      </c>
      <c r="G992" s="33">
        <f>(C992*1.06194690265)+(-5.9)</f>
        <v>29.250442477714998</v>
      </c>
      <c r="H992" s="34">
        <f>(C992*1.19469026548)+(0)</f>
        <v>39.544247787388002</v>
      </c>
      <c r="I992" s="34">
        <f>(C992*1.16814159292)+(-2)</f>
        <v>36.665486725652002</v>
      </c>
      <c r="J992" s="34">
        <f>(C992*1.1238938053)+(-3.9)</f>
        <v>33.300884955430007</v>
      </c>
      <c r="K992" s="34">
        <f>(C992*1.07964601769)+(-5.6)</f>
        <v>30.136283185539</v>
      </c>
    </row>
    <row r="993" spans="1:11" s="21" customFormat="1" ht="19.95" customHeight="1" x14ac:dyDescent="0.25">
      <c r="A993" s="13" t="str">
        <f>"16576"</f>
        <v>16576</v>
      </c>
      <c r="B993" s="14" t="s">
        <v>1338</v>
      </c>
      <c r="C993" s="13" t="str">
        <f>"16.3"</f>
        <v>16.3</v>
      </c>
      <c r="D993" s="32">
        <f>(C993*1.24778761061)+(0.4)</f>
        <v>20.738938052943002</v>
      </c>
      <c r="E993" s="33">
        <f>(C993*1.16814159292)+(-1)</f>
        <v>18.040707964596002</v>
      </c>
      <c r="F993" s="33">
        <f>(C993*1.1238938053)+(-4.4)</f>
        <v>13.919469026390002</v>
      </c>
      <c r="G993" s="33">
        <f>(C993*1.06194690265)+(-5.9)</f>
        <v>11.409734513195</v>
      </c>
      <c r="H993" s="34">
        <f>(C993*1.19469026548)+(0)</f>
        <v>19.473451327324</v>
      </c>
      <c r="I993" s="34">
        <f>(C993*1.16814159292)+(-2)</f>
        <v>17.040707964596002</v>
      </c>
      <c r="J993" s="34">
        <f>(C993*1.1238938053)+(-3.9)</f>
        <v>14.419469026390002</v>
      </c>
      <c r="K993" s="34">
        <f>(C993*1.07964601769)+(-5.6)</f>
        <v>11.998230088347002</v>
      </c>
    </row>
    <row r="994" spans="1:11" s="21" customFormat="1" ht="19.95" customHeight="1" x14ac:dyDescent="0.25">
      <c r="A994" s="13" t="str">
        <f>"1017086"</f>
        <v>1017086</v>
      </c>
      <c r="B994" s="14" t="s">
        <v>1339</v>
      </c>
      <c r="C994" s="13" t="str">
        <f>"20.5"</f>
        <v>20.5</v>
      </c>
      <c r="D994" s="32">
        <f>(C994*1.24778761061)+(0.4)</f>
        <v>25.979646017505001</v>
      </c>
      <c r="E994" s="33">
        <f>(C994*1.16814159292)+(-1)</f>
        <v>22.946902654860001</v>
      </c>
      <c r="F994" s="33">
        <f>(C994*1.1238938053)+(-4.4)</f>
        <v>18.639823008649998</v>
      </c>
      <c r="G994" s="33">
        <f>(C994*1.06194690265)+(-5.9)</f>
        <v>15.869911504324998</v>
      </c>
      <c r="H994" s="34">
        <f>(C994*1.19469026548)+(0)</f>
        <v>24.49115044234</v>
      </c>
      <c r="I994" s="34">
        <f>(C994*1.16814159292)+(-2)</f>
        <v>21.946902654860001</v>
      </c>
      <c r="J994" s="34">
        <f>(C994*1.1238938053)+(-3.9)</f>
        <v>19.139823008650001</v>
      </c>
      <c r="K994" s="34">
        <f>(C994*1.07964601769)+(-5.6)</f>
        <v>16.532743362645</v>
      </c>
    </row>
    <row r="995" spans="1:11" s="21" customFormat="1" ht="19.95" customHeight="1" x14ac:dyDescent="0.25">
      <c r="A995" s="13" t="str">
        <f>"45474"</f>
        <v>45474</v>
      </c>
      <c r="B995" s="14" t="s">
        <v>1340</v>
      </c>
      <c r="C995" s="13" t="str">
        <f>"17.1"</f>
        <v>17.1</v>
      </c>
      <c r="D995" s="32">
        <f>(C995*1.24778761061)+(0.4)</f>
        <v>21.737168141431003</v>
      </c>
      <c r="E995" s="33">
        <f>(C995*1.16814159292)+(-1)</f>
        <v>18.975221238932004</v>
      </c>
      <c r="F995" s="33">
        <f>(C995*1.1238938053)+(-4.4)</f>
        <v>14.818584070630001</v>
      </c>
      <c r="G995" s="33">
        <f>(C995*1.06194690265)+(-5.9)</f>
        <v>12.259292035315001</v>
      </c>
      <c r="H995" s="34">
        <f>(C995*1.19469026548)+(0)</f>
        <v>20.429203539708002</v>
      </c>
      <c r="I995" s="34">
        <f>(C995*1.16814159292)+(-2)</f>
        <v>17.975221238932004</v>
      </c>
      <c r="J995" s="34">
        <f>(C995*1.1238938053)+(-3.9)</f>
        <v>15.318584070630001</v>
      </c>
      <c r="K995" s="34">
        <f>(C995*1.07964601769)+(-5.6)</f>
        <v>12.861946902499001</v>
      </c>
    </row>
    <row r="996" spans="1:11" s="21" customFormat="1" ht="19.95" customHeight="1" x14ac:dyDescent="0.25">
      <c r="A996" s="13" t="str">
        <f>"25558"</f>
        <v>25558</v>
      </c>
      <c r="B996" s="14" t="s">
        <v>1341</v>
      </c>
      <c r="C996" s="13" t="str">
        <f>"5.9"</f>
        <v>5.9</v>
      </c>
      <c r="D996" s="32">
        <f>(C996*1.24778761061)+(0.4)</f>
        <v>7.7619469025990018</v>
      </c>
      <c r="E996" s="33">
        <f>(C996*1.16814159292)+(-1)</f>
        <v>5.8920353982280007</v>
      </c>
      <c r="F996" s="33">
        <f>(C996*1.1238938053)+(-4.4)</f>
        <v>2.2309734512700006</v>
      </c>
      <c r="G996" s="33">
        <f>(C996*1.06194690265)+(-5.9)</f>
        <v>0.36548672563499984</v>
      </c>
      <c r="H996" s="34">
        <f>(C996*1.19469026548)+(0)</f>
        <v>7.0486725663320007</v>
      </c>
      <c r="I996" s="34">
        <f>(C996*1.16814159292)+(-2)</f>
        <v>4.8920353982280007</v>
      </c>
      <c r="J996" s="34">
        <f>(C996*1.1238938053)+(-3.9)</f>
        <v>2.730973451270001</v>
      </c>
      <c r="K996" s="34">
        <f>(C996*1.07964601769)+(-5.6)</f>
        <v>0.76991150437100053</v>
      </c>
    </row>
    <row r="997" spans="1:11" s="21" customFormat="1" ht="19.95" customHeight="1" x14ac:dyDescent="0.25">
      <c r="A997" s="13" t="str">
        <f>"1016444"</f>
        <v>1016444</v>
      </c>
      <c r="B997" s="14" t="s">
        <v>1342</v>
      </c>
      <c r="C997" s="13" t="str">
        <f>"16.4"</f>
        <v>16.4</v>
      </c>
      <c r="D997" s="32">
        <f>(C997*1.24778761061)+(0.4)</f>
        <v>20.863716814003997</v>
      </c>
      <c r="E997" s="33">
        <f>(C997*1.16814159292)+(-1)</f>
        <v>18.157522123888</v>
      </c>
      <c r="F997" s="33">
        <f>(C997*1.1238938053)+(-4.4)</f>
        <v>14.03185840692</v>
      </c>
      <c r="G997" s="33">
        <f>(C997*1.06194690265)+(-5.9)</f>
        <v>11.515929203459995</v>
      </c>
      <c r="H997" s="34">
        <f>(C997*1.19469026548)+(0)</f>
        <v>19.592920353872</v>
      </c>
      <c r="I997" s="34">
        <f>(C997*1.16814159292)+(-2)</f>
        <v>17.157522123888</v>
      </c>
      <c r="J997" s="34">
        <f>(C997*1.1238938053)+(-3.9)</f>
        <v>14.53185840692</v>
      </c>
      <c r="K997" s="34">
        <f>(C997*1.07964601769)+(-5.6)</f>
        <v>12.106194690116</v>
      </c>
    </row>
    <row r="998" spans="1:11" s="21" customFormat="1" ht="19.95" customHeight="1" x14ac:dyDescent="0.25">
      <c r="A998" s="13" t="str">
        <f>"16578"</f>
        <v>16578</v>
      </c>
      <c r="B998" s="14" t="s">
        <v>1343</v>
      </c>
      <c r="C998" s="13" t="str">
        <f>"8.2"</f>
        <v>8.2</v>
      </c>
      <c r="D998" s="32">
        <f>(C998*1.24778761061)+(0.4)</f>
        <v>10.631858407001999</v>
      </c>
      <c r="E998" s="33">
        <f>(C998*1.16814159292)+(-1)</f>
        <v>8.5787610619440002</v>
      </c>
      <c r="F998" s="33">
        <f>(C998*1.1238938053)+(-4.4)</f>
        <v>4.8159292034599996</v>
      </c>
      <c r="G998" s="33">
        <f>(C998*1.06194690265)+(-5.9)</f>
        <v>2.8079646017299975</v>
      </c>
      <c r="H998" s="34">
        <f>(C998*1.19469026548)+(0)</f>
        <v>9.7964601769359998</v>
      </c>
      <c r="I998" s="34">
        <f>(C998*1.16814159292)+(-2)</f>
        <v>7.5787610619440002</v>
      </c>
      <c r="J998" s="34">
        <f>(C998*1.1238938053)+(-3.9)</f>
        <v>5.3159292034599996</v>
      </c>
      <c r="K998" s="34">
        <f>(C998*1.07964601769)+(-5.6)</f>
        <v>3.2530973450580003</v>
      </c>
    </row>
    <row r="999" spans="1:11" s="21" customFormat="1" ht="19.95" customHeight="1" x14ac:dyDescent="0.25">
      <c r="A999" s="13" t="str">
        <f>"31214"</f>
        <v>31214</v>
      </c>
      <c r="B999" s="14" t="s">
        <v>1344</v>
      </c>
      <c r="C999" s="13" t="str">
        <f>"17.1"</f>
        <v>17.1</v>
      </c>
      <c r="D999" s="32">
        <f>(C999*1.24778761061)+(0.4)</f>
        <v>21.737168141431003</v>
      </c>
      <c r="E999" s="33">
        <f>(C999*1.16814159292)+(-1)</f>
        <v>18.975221238932004</v>
      </c>
      <c r="F999" s="33">
        <f>(C999*1.1238938053)+(-4.4)</f>
        <v>14.818584070630001</v>
      </c>
      <c r="G999" s="33">
        <f>(C999*1.06194690265)+(-5.9)</f>
        <v>12.259292035315001</v>
      </c>
      <c r="H999" s="34">
        <f>(C999*1.19469026548)+(0)</f>
        <v>20.429203539708002</v>
      </c>
      <c r="I999" s="34">
        <f>(C999*1.16814159292)+(-2)</f>
        <v>17.975221238932004</v>
      </c>
      <c r="J999" s="34">
        <f>(C999*1.1238938053)+(-3.9)</f>
        <v>15.318584070630001</v>
      </c>
      <c r="K999" s="34">
        <f>(C999*1.07964601769)+(-5.6)</f>
        <v>12.861946902499001</v>
      </c>
    </row>
    <row r="1000" spans="1:11" s="21" customFormat="1" ht="19.95" customHeight="1" x14ac:dyDescent="0.25">
      <c r="A1000" s="13" t="str">
        <f>"16587"</f>
        <v>16587</v>
      </c>
      <c r="B1000" s="14" t="s">
        <v>1345</v>
      </c>
      <c r="C1000" s="13" t="str">
        <f>"16.3"</f>
        <v>16.3</v>
      </c>
      <c r="D1000" s="32">
        <f>(C1000*1.24778761061)+(0.4)</f>
        <v>20.738938052943002</v>
      </c>
      <c r="E1000" s="33">
        <f>(C1000*1.16814159292)+(-1)</f>
        <v>18.040707964596002</v>
      </c>
      <c r="F1000" s="33">
        <f>(C1000*1.1238938053)+(-4.4)</f>
        <v>13.919469026390002</v>
      </c>
      <c r="G1000" s="33">
        <f>(C1000*1.06194690265)+(-5.9)</f>
        <v>11.409734513195</v>
      </c>
      <c r="H1000" s="34">
        <f>(C1000*1.19469026548)+(0)</f>
        <v>19.473451327324</v>
      </c>
      <c r="I1000" s="34">
        <f>(C1000*1.16814159292)+(-2)</f>
        <v>17.040707964596002</v>
      </c>
      <c r="J1000" s="34">
        <f>(C1000*1.1238938053)+(-3.9)</f>
        <v>14.419469026390002</v>
      </c>
      <c r="K1000" s="34">
        <f>(C1000*1.07964601769)+(-5.6)</f>
        <v>11.998230088347002</v>
      </c>
    </row>
    <row r="1001" spans="1:11" s="21" customFormat="1" ht="19.95" customHeight="1" x14ac:dyDescent="0.25">
      <c r="A1001" s="13" t="str">
        <f>"1001789"</f>
        <v>1001789</v>
      </c>
      <c r="B1001" s="14" t="s">
        <v>1346</v>
      </c>
      <c r="C1001" s="13" t="str">
        <f>"20.2"</f>
        <v>20.2</v>
      </c>
      <c r="D1001" s="32">
        <f>(C1001*1.24778761061)+(0.4)</f>
        <v>25.605309734321999</v>
      </c>
      <c r="E1001" s="33">
        <f>(C1001*1.16814159292)+(-1)</f>
        <v>22.596460176983999</v>
      </c>
      <c r="F1001" s="33">
        <f>(C1001*1.1238938053)+(-4.4)</f>
        <v>18.302654867059999</v>
      </c>
      <c r="G1001" s="33">
        <f>(C1001*1.06194690265)+(-5.9)</f>
        <v>15.551327433529996</v>
      </c>
      <c r="H1001" s="34">
        <f>(C1001*1.19469026548)+(0)</f>
        <v>24.132743362696001</v>
      </c>
      <c r="I1001" s="34">
        <f>(C1001*1.16814159292)+(-2)</f>
        <v>21.596460176983999</v>
      </c>
      <c r="J1001" s="34">
        <f>(C1001*1.1238938053)+(-3.9)</f>
        <v>18.802654867060003</v>
      </c>
      <c r="K1001" s="34">
        <f>(C1001*1.07964601769)+(-5.6)</f>
        <v>16.208849557337999</v>
      </c>
    </row>
    <row r="1002" spans="1:11" s="21" customFormat="1" ht="19.95" customHeight="1" x14ac:dyDescent="0.25">
      <c r="A1002" s="13" t="str">
        <f>"16591"</f>
        <v>16591</v>
      </c>
      <c r="B1002" s="14" t="s">
        <v>1347</v>
      </c>
      <c r="C1002" s="13" t="str">
        <f>"33.8"</f>
        <v>33.8</v>
      </c>
      <c r="D1002" s="32">
        <f>(C1002*1.24778761061)+(0.4)</f>
        <v>42.575221238617999</v>
      </c>
      <c r="E1002" s="33">
        <f>(C1002*1.16814159292)+(-1)</f>
        <v>38.483185840696002</v>
      </c>
      <c r="F1002" s="33">
        <f>(C1002*1.1238938053)+(-4.4)</f>
        <v>33.587610619140001</v>
      </c>
      <c r="G1002" s="33">
        <f>(C1002*1.06194690265)+(-5.9)</f>
        <v>29.993805309569993</v>
      </c>
      <c r="H1002" s="34">
        <f>(C1002*1.19469026548)+(0)</f>
        <v>40.380530973223998</v>
      </c>
      <c r="I1002" s="34">
        <f>(C1002*1.16814159292)+(-2)</f>
        <v>37.483185840696002</v>
      </c>
      <c r="J1002" s="34">
        <f>(C1002*1.1238938053)+(-3.9)</f>
        <v>34.087610619140001</v>
      </c>
      <c r="K1002" s="34">
        <f>(C1002*1.07964601769)+(-5.6)</f>
        <v>30.892035397921994</v>
      </c>
    </row>
    <row r="1003" spans="1:11" s="21" customFormat="1" ht="19.95" customHeight="1" x14ac:dyDescent="0.25">
      <c r="A1003" s="13" t="str">
        <f>"16592"</f>
        <v>16592</v>
      </c>
      <c r="B1003" s="14" t="s">
        <v>1348</v>
      </c>
      <c r="C1003" s="13" t="str">
        <f>"9.4"</f>
        <v>9.4</v>
      </c>
      <c r="D1003" s="32">
        <f>(C1003*1.24778761061)+(0.4)</f>
        <v>12.129203539734002</v>
      </c>
      <c r="E1003" s="33">
        <f>(C1003*1.16814159292)+(-1)</f>
        <v>9.9805309734480012</v>
      </c>
      <c r="F1003" s="33">
        <f>(C1003*1.1238938053)+(-4.4)</f>
        <v>6.1646017698200009</v>
      </c>
      <c r="G1003" s="33">
        <f>(C1003*1.06194690265)+(-5.9)</f>
        <v>4.0823008849099995</v>
      </c>
      <c r="H1003" s="34">
        <f>(C1003*1.19469026548)+(0)</f>
        <v>11.230088495512</v>
      </c>
      <c r="I1003" s="34">
        <f>(C1003*1.16814159292)+(-2)</f>
        <v>8.9805309734480012</v>
      </c>
      <c r="J1003" s="34">
        <f>(C1003*1.1238938053)+(-3.9)</f>
        <v>6.6646017698200009</v>
      </c>
      <c r="K1003" s="34">
        <f>(C1003*1.07964601769)+(-5.6)</f>
        <v>4.548672566286001</v>
      </c>
    </row>
    <row r="1004" spans="1:11" s="21" customFormat="1" ht="19.95" customHeight="1" x14ac:dyDescent="0.25">
      <c r="A1004" s="13" t="str">
        <f>"47350"</f>
        <v>47350</v>
      </c>
      <c r="B1004" s="14" t="s">
        <v>1349</v>
      </c>
      <c r="C1004" s="13" t="str">
        <f>"23.9"</f>
        <v>23.9</v>
      </c>
      <c r="D1004" s="32">
        <f>(C1004*1.24778761061)+(0.4)</f>
        <v>30.222123893578999</v>
      </c>
      <c r="E1004" s="33">
        <f>(C1004*1.16814159292)+(-1)</f>
        <v>26.918584070788</v>
      </c>
      <c r="F1004" s="33">
        <f>(C1004*1.1238938053)+(-4.4)</f>
        <v>22.46106194667</v>
      </c>
      <c r="G1004" s="33">
        <f>(C1004*1.06194690265)+(-5.9)</f>
        <v>19.480530973334993</v>
      </c>
      <c r="H1004" s="34">
        <f>(C1004*1.19469026548)+(0)</f>
        <v>28.553097344971999</v>
      </c>
      <c r="I1004" s="34">
        <f>(C1004*1.16814159292)+(-2)</f>
        <v>25.918584070788</v>
      </c>
      <c r="J1004" s="34">
        <f>(C1004*1.1238938053)+(-3.9)</f>
        <v>22.96106194667</v>
      </c>
      <c r="K1004" s="34">
        <f>(C1004*1.07964601769)+(-5.6)</f>
        <v>20.203539822791001</v>
      </c>
    </row>
    <row r="1005" spans="1:11" s="21" customFormat="1" ht="19.95" customHeight="1" x14ac:dyDescent="0.25">
      <c r="A1005" s="13" t="str">
        <f>"5734"</f>
        <v>5734</v>
      </c>
      <c r="B1005" s="14" t="s">
        <v>1350</v>
      </c>
      <c r="C1005" s="13" t="str">
        <f>"10.1"</f>
        <v>10.1</v>
      </c>
      <c r="D1005" s="32">
        <f>(C1005*1.24778761061)+(0.4)</f>
        <v>13.002654867161</v>
      </c>
      <c r="E1005" s="33">
        <f>(C1005*1.16814159292)+(-1)</f>
        <v>10.798230088492</v>
      </c>
      <c r="F1005" s="33">
        <f>(C1005*1.1238938053)+(-4.4)</f>
        <v>6.9513274335300004</v>
      </c>
      <c r="G1005" s="33">
        <f>(C1005*1.06194690265)+(-5.9)</f>
        <v>4.8256637167649981</v>
      </c>
      <c r="H1005" s="34">
        <f>(C1005*1.19469026548)+(0)</f>
        <v>12.066371681348</v>
      </c>
      <c r="I1005" s="34">
        <f>(C1005*1.16814159292)+(-2)</f>
        <v>9.7982300884919997</v>
      </c>
      <c r="J1005" s="34">
        <f>(C1005*1.1238938053)+(-3.9)</f>
        <v>7.4513274335300004</v>
      </c>
      <c r="K1005" s="34">
        <f>(C1005*1.07964601769)+(-5.6)</f>
        <v>5.3044247786690004</v>
      </c>
    </row>
    <row r="1006" spans="1:11" s="21" customFormat="1" ht="19.95" customHeight="1" x14ac:dyDescent="0.25">
      <c r="A1006" s="13" t="str">
        <f>"48503"</f>
        <v>48503</v>
      </c>
      <c r="B1006" s="14" t="s">
        <v>1351</v>
      </c>
      <c r="C1006" s="13" t="str">
        <f>"11.6"</f>
        <v>11.6</v>
      </c>
      <c r="D1006" s="32">
        <f>(C1006*1.24778761061)+(0.4)</f>
        <v>14.874336283076001</v>
      </c>
      <c r="E1006" s="33">
        <f>(C1006*1.16814159292)+(-1)</f>
        <v>12.550442477872</v>
      </c>
      <c r="F1006" s="33">
        <f>(C1006*1.1238938053)+(-4.4)</f>
        <v>8.6371681414800001</v>
      </c>
      <c r="G1006" s="33">
        <f>(C1006*1.06194690265)+(-5.9)</f>
        <v>6.4185840707399979</v>
      </c>
      <c r="H1006" s="34">
        <f>(C1006*1.19469026548)+(0)</f>
        <v>13.858407079568</v>
      </c>
      <c r="I1006" s="34">
        <f>(C1006*1.16814159292)+(-2)</f>
        <v>11.550442477872</v>
      </c>
      <c r="J1006" s="34">
        <f>(C1006*1.1238938053)+(-3.9)</f>
        <v>9.1371681414800001</v>
      </c>
      <c r="K1006" s="34">
        <f>(C1006*1.07964601769)+(-5.6)</f>
        <v>6.9238938052040009</v>
      </c>
    </row>
    <row r="1007" spans="1:11" s="21" customFormat="1" ht="19.95" customHeight="1" x14ac:dyDescent="0.25">
      <c r="A1007" s="13" t="str">
        <f>"13324"</f>
        <v>13324</v>
      </c>
      <c r="B1007" s="14" t="s">
        <v>1352</v>
      </c>
      <c r="C1007" s="13" t="str">
        <f>"17.7"</f>
        <v>17.7</v>
      </c>
      <c r="D1007" s="32">
        <f>(C1007*1.24778761061)+(0.4)</f>
        <v>22.485840707796999</v>
      </c>
      <c r="E1007" s="33">
        <f>(C1007*1.16814159292)+(-1)</f>
        <v>19.676106194683999</v>
      </c>
      <c r="F1007" s="33">
        <f>(C1007*1.1238938053)+(-4.4)</f>
        <v>15.492920353809998</v>
      </c>
      <c r="G1007" s="33">
        <f>(C1007*1.06194690265)+(-5.9)</f>
        <v>12.896460176904997</v>
      </c>
      <c r="H1007" s="34">
        <f>(C1007*1.19469026548)+(0)</f>
        <v>21.146017698996001</v>
      </c>
      <c r="I1007" s="34">
        <f>(C1007*1.16814159292)+(-2)</f>
        <v>18.676106194683999</v>
      </c>
      <c r="J1007" s="34">
        <f>(C1007*1.1238938053)+(-3.9)</f>
        <v>15.992920353809998</v>
      </c>
      <c r="K1007" s="34">
        <f>(C1007*1.07964601769)+(-5.6)</f>
        <v>13.509734513113001</v>
      </c>
    </row>
    <row r="1008" spans="1:11" s="21" customFormat="1" ht="19.95" customHeight="1" x14ac:dyDescent="0.25">
      <c r="A1008" s="13" t="str">
        <f>"73876"</f>
        <v>73876</v>
      </c>
      <c r="B1008" s="14" t="s">
        <v>1353</v>
      </c>
      <c r="C1008" s="13" t="str">
        <f>"15.5"</f>
        <v>15.5</v>
      </c>
      <c r="D1008" s="32">
        <f>(C1008*1.24778761061)+(0.4)</f>
        <v>19.740707964455002</v>
      </c>
      <c r="E1008" s="33">
        <f>(C1008*1.16814159292)+(-1)</f>
        <v>17.106194690260001</v>
      </c>
      <c r="F1008" s="33">
        <f>(C1008*1.1238938053)+(-4.4)</f>
        <v>13.020353982150001</v>
      </c>
      <c r="G1008" s="33">
        <f>(C1008*1.06194690265)+(-5.9)</f>
        <v>10.560176991074998</v>
      </c>
      <c r="H1008" s="34">
        <f>(C1008*1.19469026548)+(0)</f>
        <v>18.517699114940001</v>
      </c>
      <c r="I1008" s="34">
        <f>(C1008*1.16814159292)+(-2)</f>
        <v>16.106194690260001</v>
      </c>
      <c r="J1008" s="34">
        <f>(C1008*1.1238938053)+(-3.9)</f>
        <v>13.520353982150001</v>
      </c>
      <c r="K1008" s="34">
        <f>(C1008*1.07964601769)+(-5.6)</f>
        <v>11.134513274194999</v>
      </c>
    </row>
    <row r="1009" spans="1:11" s="21" customFormat="1" ht="19.95" customHeight="1" x14ac:dyDescent="0.25">
      <c r="A1009" s="13" t="str">
        <f>"16598"</f>
        <v>16598</v>
      </c>
      <c r="B1009" s="14" t="s">
        <v>1354</v>
      </c>
      <c r="C1009" s="13" t="str">
        <f>"18.6"</f>
        <v>18.6</v>
      </c>
      <c r="D1009" s="32">
        <f>(C1009*1.24778761061)+(0.4)</f>
        <v>23.608849557346002</v>
      </c>
      <c r="E1009" s="33">
        <f>(C1009*1.16814159292)+(-1)</f>
        <v>20.727433628312003</v>
      </c>
      <c r="F1009" s="33">
        <f>(C1009*1.1238938053)+(-4.4)</f>
        <v>16.504424778580002</v>
      </c>
      <c r="G1009" s="33">
        <f>(C1009*1.06194690265)+(-5.9)</f>
        <v>13.852212389290001</v>
      </c>
      <c r="H1009" s="34">
        <f>(C1009*1.19469026548)+(0)</f>
        <v>22.221238937928003</v>
      </c>
      <c r="I1009" s="34">
        <f>(C1009*1.16814159292)+(-2)</f>
        <v>19.727433628312003</v>
      </c>
      <c r="J1009" s="34">
        <f>(C1009*1.1238938053)+(-3.9)</f>
        <v>17.004424778580002</v>
      </c>
      <c r="K1009" s="34">
        <f>(C1009*1.07964601769)+(-5.6)</f>
        <v>14.481415929034002</v>
      </c>
    </row>
    <row r="1010" spans="1:11" s="21" customFormat="1" ht="19.95" customHeight="1" x14ac:dyDescent="0.25">
      <c r="A1010" s="13" t="str">
        <f>"16599"</f>
        <v>16599</v>
      </c>
      <c r="B1010" s="14" t="s">
        <v>1355</v>
      </c>
      <c r="C1010" s="13" t="str">
        <f>"36.3"</f>
        <v>36.3</v>
      </c>
      <c r="D1010" s="32">
        <f>(C1010*1.24778761061)+(0.4)</f>
        <v>45.694690265142995</v>
      </c>
      <c r="E1010" s="33">
        <f>(C1010*1.16814159292)+(-1)</f>
        <v>41.403539822996002</v>
      </c>
      <c r="F1010" s="33">
        <f>(C1010*1.1238938053)+(-4.4)</f>
        <v>36.397345132390001</v>
      </c>
      <c r="G1010" s="33">
        <f>(C1010*1.06194690265)+(-5.9)</f>
        <v>32.648672566194996</v>
      </c>
      <c r="H1010" s="34">
        <f>(C1010*1.19469026548)+(0)</f>
        <v>43.367256636923997</v>
      </c>
      <c r="I1010" s="34">
        <f>(C1010*1.16814159292)+(-2)</f>
        <v>40.403539822996002</v>
      </c>
      <c r="J1010" s="34">
        <f>(C1010*1.1238938053)+(-3.9)</f>
        <v>36.897345132390001</v>
      </c>
      <c r="K1010" s="34">
        <f>(C1010*1.07964601769)+(-5.6)</f>
        <v>33.591150442146997</v>
      </c>
    </row>
    <row r="1011" spans="1:11" s="21" customFormat="1" ht="19.95" customHeight="1" x14ac:dyDescent="0.25">
      <c r="A1011" s="13" t="str">
        <f>"1002103"</f>
        <v>1002103</v>
      </c>
      <c r="B1011" s="14" t="s">
        <v>1356</v>
      </c>
      <c r="C1011" s="13" t="str">
        <f>"33.1"</f>
        <v>33.1</v>
      </c>
      <c r="D1011" s="32">
        <f>(C1011*1.24778761061)+(0.4)</f>
        <v>41.701769911191001</v>
      </c>
      <c r="E1011" s="33">
        <f>(C1011*1.16814159292)+(-1)</f>
        <v>37.665486725652002</v>
      </c>
      <c r="F1011" s="33">
        <f>(C1011*1.1238938053)+(-4.4)</f>
        <v>32.800884955430007</v>
      </c>
      <c r="G1011" s="33">
        <f>(C1011*1.06194690265)+(-5.9)</f>
        <v>29.250442477714998</v>
      </c>
      <c r="H1011" s="34">
        <f>(C1011*1.19469026548)+(0)</f>
        <v>39.544247787388002</v>
      </c>
      <c r="I1011" s="34">
        <f>(C1011*1.16814159292)+(-2)</f>
        <v>36.665486725652002</v>
      </c>
      <c r="J1011" s="34">
        <f>(C1011*1.1238938053)+(-3.9)</f>
        <v>33.300884955430007</v>
      </c>
      <c r="K1011" s="34">
        <f>(C1011*1.07964601769)+(-5.6)</f>
        <v>30.136283185539</v>
      </c>
    </row>
    <row r="1012" spans="1:11" s="21" customFormat="1" ht="19.95" customHeight="1" x14ac:dyDescent="0.25">
      <c r="A1012" s="13" t="str">
        <f>"17800"</f>
        <v>17800</v>
      </c>
      <c r="B1012" s="14" t="s">
        <v>1357</v>
      </c>
      <c r="C1012" s="13" t="str">
        <f>"20.1"</f>
        <v>20.1</v>
      </c>
      <c r="D1012" s="32">
        <f>(C1012*1.24778761061)+(0.4)</f>
        <v>25.480530973261001</v>
      </c>
      <c r="E1012" s="33">
        <f>(C1012*1.16814159292)+(-1)</f>
        <v>22.479646017692005</v>
      </c>
      <c r="F1012" s="33">
        <f>(C1012*1.1238938053)+(-4.4)</f>
        <v>18.190265486530002</v>
      </c>
      <c r="G1012" s="33">
        <f>(C1012*1.06194690265)+(-5.9)</f>
        <v>15.445132743265001</v>
      </c>
      <c r="H1012" s="34">
        <f>(C1012*1.19469026548)+(0)</f>
        <v>24.013274336148001</v>
      </c>
      <c r="I1012" s="34">
        <f>(C1012*1.16814159292)+(-2)</f>
        <v>21.479646017692005</v>
      </c>
      <c r="J1012" s="34">
        <f>(C1012*1.1238938053)+(-3.9)</f>
        <v>18.690265486530006</v>
      </c>
      <c r="K1012" s="34">
        <f>(C1012*1.07964601769)+(-5.6)</f>
        <v>16.100884955569001</v>
      </c>
    </row>
    <row r="1013" spans="1:11" s="21" customFormat="1" ht="19.95" customHeight="1" x14ac:dyDescent="0.25">
      <c r="A1013" s="13" t="str">
        <f>"5658"</f>
        <v>5658</v>
      </c>
      <c r="B1013" s="14" t="s">
        <v>1358</v>
      </c>
      <c r="C1013" s="13" t="str">
        <f>"14.2"</f>
        <v>14.2</v>
      </c>
      <c r="D1013" s="32">
        <f>(C1013*1.24778761061)+(0.4)</f>
        <v>18.118584070661999</v>
      </c>
      <c r="E1013" s="33">
        <f>(C1013*1.16814159292)+(-1)</f>
        <v>15.587610619464002</v>
      </c>
      <c r="F1013" s="33">
        <f>(C1013*1.1238938053)+(-4.4)</f>
        <v>11.55929203526</v>
      </c>
      <c r="G1013" s="33">
        <f>(C1013*1.06194690265)+(-5.9)</f>
        <v>9.179646017629997</v>
      </c>
      <c r="H1013" s="34">
        <f>(C1013*1.19469026548)+(0)</f>
        <v>16.964601769815999</v>
      </c>
      <c r="I1013" s="34">
        <f>(C1013*1.16814159292)+(-2)</f>
        <v>14.587610619464002</v>
      </c>
      <c r="J1013" s="34">
        <f>(C1013*1.1238938053)+(-3.9)</f>
        <v>12.05929203526</v>
      </c>
      <c r="K1013" s="34">
        <f>(C1013*1.07964601769)+(-5.6)</f>
        <v>9.7309734511980004</v>
      </c>
    </row>
    <row r="1014" spans="1:11" s="21" customFormat="1" ht="19.95" customHeight="1" x14ac:dyDescent="0.25">
      <c r="A1014" s="13" t="str">
        <f>"16601"</f>
        <v>16601</v>
      </c>
      <c r="B1014" s="14" t="s">
        <v>1359</v>
      </c>
      <c r="C1014" s="13" t="str">
        <f>"8.7"</f>
        <v>8.7</v>
      </c>
      <c r="D1014" s="32">
        <f>(C1014*1.24778761061)+(0.4)</f>
        <v>11.255752212307</v>
      </c>
      <c r="E1014" s="33">
        <f>(C1014*1.16814159292)+(-1)</f>
        <v>9.1628318584039992</v>
      </c>
      <c r="F1014" s="33">
        <f>(C1014*1.1238938053)+(-4.4)</f>
        <v>5.3778761061099996</v>
      </c>
      <c r="G1014" s="33">
        <f>(C1014*1.06194690265)+(-5.9)</f>
        <v>3.3389380530549975</v>
      </c>
      <c r="H1014" s="34">
        <f>(C1014*1.19469026548)+(0)</f>
        <v>10.393805309675999</v>
      </c>
      <c r="I1014" s="34">
        <f>(C1014*1.16814159292)+(-2)</f>
        <v>8.1628318584039992</v>
      </c>
      <c r="J1014" s="34">
        <f>(C1014*1.1238938053)+(-3.9)</f>
        <v>5.8778761061099996</v>
      </c>
      <c r="K1014" s="34">
        <f>(C1014*1.07964601769)+(-5.6)</f>
        <v>3.7929203539029999</v>
      </c>
    </row>
    <row r="1015" spans="1:11" s="21" customFormat="1" ht="19.95" customHeight="1" x14ac:dyDescent="0.25">
      <c r="A1015" s="13" t="str">
        <f>"17726"</f>
        <v>17726</v>
      </c>
      <c r="B1015" s="14" t="s">
        <v>1360</v>
      </c>
      <c r="C1015" s="13" t="str">
        <f>"21.6"</f>
        <v>21.6</v>
      </c>
      <c r="D1015" s="32">
        <f>(C1015*1.24778761061)+(0.4)</f>
        <v>27.352212389176003</v>
      </c>
      <c r="E1015" s="33">
        <f>(C1015*1.16814159292)+(-1)</f>
        <v>24.231858407072004</v>
      </c>
      <c r="F1015" s="33">
        <f>(C1015*1.1238938053)+(-4.4)</f>
        <v>19.876106194480002</v>
      </c>
      <c r="G1015" s="33">
        <f>(C1015*1.06194690265)+(-5.9)</f>
        <v>17.038053097240002</v>
      </c>
      <c r="H1015" s="34">
        <f>(C1015*1.19469026548)+(0)</f>
        <v>25.805309734368002</v>
      </c>
      <c r="I1015" s="34">
        <f>(C1015*1.16814159292)+(-2)</f>
        <v>23.231858407072004</v>
      </c>
      <c r="J1015" s="34">
        <f>(C1015*1.1238938053)+(-3.9)</f>
        <v>20.376106194480005</v>
      </c>
      <c r="K1015" s="34">
        <f>(C1015*1.07964601769)+(-5.6)</f>
        <v>17.720353982104001</v>
      </c>
    </row>
    <row r="1016" spans="1:11" s="21" customFormat="1" ht="19.95" customHeight="1" x14ac:dyDescent="0.25">
      <c r="A1016" s="13" t="str">
        <f>"16606"</f>
        <v>16606</v>
      </c>
      <c r="B1016" s="14" t="s">
        <v>1361</v>
      </c>
      <c r="C1016" s="13" t="str">
        <f>"35.5"</f>
        <v>35.5</v>
      </c>
      <c r="D1016" s="32">
        <f>(C1016*1.24778761061)+(0.4)</f>
        <v>44.696460176655002</v>
      </c>
      <c r="E1016" s="33">
        <f>(C1016*1.16814159292)+(-1)</f>
        <v>40.469026548660004</v>
      </c>
      <c r="F1016" s="33">
        <f>(C1016*1.1238938053)+(-4.4)</f>
        <v>35.498230088150002</v>
      </c>
      <c r="G1016" s="33">
        <f>(C1016*1.06194690265)+(-5.9)</f>
        <v>31.799115044075002</v>
      </c>
      <c r="H1016" s="34">
        <f>(C1016*1.19469026548)+(0)</f>
        <v>42.411504424539999</v>
      </c>
      <c r="I1016" s="34">
        <f>(C1016*1.16814159292)+(-2)</f>
        <v>39.469026548660004</v>
      </c>
      <c r="J1016" s="34">
        <f>(C1016*1.1238938053)+(-3.9)</f>
        <v>35.998230088150002</v>
      </c>
      <c r="K1016" s="34">
        <f>(C1016*1.07964601769)+(-5.6)</f>
        <v>32.727433627994998</v>
      </c>
    </row>
    <row r="1017" spans="1:11" s="21" customFormat="1" ht="19.95" customHeight="1" x14ac:dyDescent="0.25">
      <c r="A1017" s="13" t="str">
        <f>"16607"</f>
        <v>16607</v>
      </c>
      <c r="B1017" s="14" t="s">
        <v>1362</v>
      </c>
      <c r="C1017" s="13" t="str">
        <f>"18.8"</f>
        <v>18.8</v>
      </c>
      <c r="D1017" s="32">
        <f>(C1017*1.24778761061)+(0.4)</f>
        <v>23.858407079468002</v>
      </c>
      <c r="E1017" s="33">
        <f>(C1017*1.16814159292)+(-1)</f>
        <v>20.961061946896002</v>
      </c>
      <c r="F1017" s="33">
        <f>(C1017*1.1238938053)+(-4.4)</f>
        <v>16.729203539640004</v>
      </c>
      <c r="G1017" s="33">
        <f>(C1017*1.06194690265)+(-5.9)</f>
        <v>14.064601769819999</v>
      </c>
      <c r="H1017" s="34">
        <f>(C1017*1.19469026548)+(0)</f>
        <v>22.460176991023999</v>
      </c>
      <c r="I1017" s="34">
        <f>(C1017*1.16814159292)+(-2)</f>
        <v>19.961061946896002</v>
      </c>
      <c r="J1017" s="34">
        <f>(C1017*1.1238938053)+(-3.9)</f>
        <v>17.229203539640004</v>
      </c>
      <c r="K1017" s="34">
        <f>(C1017*1.07964601769)+(-5.6)</f>
        <v>14.697345132572002</v>
      </c>
    </row>
    <row r="1018" spans="1:11" s="21" customFormat="1" ht="19.95" customHeight="1" x14ac:dyDescent="0.25">
      <c r="A1018" s="13" t="str">
        <f>"49433"</f>
        <v>49433</v>
      </c>
      <c r="B1018" s="14" t="s">
        <v>1363</v>
      </c>
      <c r="C1018" s="13" t="str">
        <f>"16.5"</f>
        <v>16.5</v>
      </c>
      <c r="D1018" s="32">
        <f>(C1018*1.24778761061)+(0.4)</f>
        <v>20.988495575064999</v>
      </c>
      <c r="E1018" s="33">
        <f>(C1018*1.16814159292)+(-1)</f>
        <v>18.274336283180002</v>
      </c>
      <c r="F1018" s="33">
        <f>(C1018*1.1238938053)+(-4.4)</f>
        <v>14.14424778745</v>
      </c>
      <c r="G1018" s="33">
        <f>(C1018*1.06194690265)+(-5.9)</f>
        <v>11.622123893724998</v>
      </c>
      <c r="H1018" s="34">
        <f>(C1018*1.19469026548)+(0)</f>
        <v>19.712389380419999</v>
      </c>
      <c r="I1018" s="34">
        <f>(C1018*1.16814159292)+(-2)</f>
        <v>17.274336283180002</v>
      </c>
      <c r="J1018" s="34">
        <f>(C1018*1.1238938053)+(-3.9)</f>
        <v>14.64424778745</v>
      </c>
      <c r="K1018" s="34">
        <f>(C1018*1.07964601769)+(-5.6)</f>
        <v>12.214159291885002</v>
      </c>
    </row>
    <row r="1019" spans="1:11" s="21" customFormat="1" ht="19.95" customHeight="1" x14ac:dyDescent="0.25">
      <c r="A1019" s="13" t="str">
        <f>"16608"</f>
        <v>16608</v>
      </c>
      <c r="B1019" s="14" t="s">
        <v>1364</v>
      </c>
      <c r="C1019" s="13" t="str">
        <f>"24.5"</f>
        <v>24.5</v>
      </c>
      <c r="D1019" s="32">
        <f>(C1019*1.24778761061)+(0.4)</f>
        <v>30.970796459944999</v>
      </c>
      <c r="E1019" s="33">
        <f>(C1019*1.16814159292)+(-1)</f>
        <v>27.619469026540003</v>
      </c>
      <c r="F1019" s="33">
        <f>(C1019*1.1238938053)+(-4.4)</f>
        <v>23.135398229850004</v>
      </c>
      <c r="G1019" s="33">
        <f>(C1019*1.06194690265)+(-5.9)</f>
        <v>20.117699114924996</v>
      </c>
      <c r="H1019" s="34">
        <f>(C1019*1.19469026548)+(0)</f>
        <v>29.269911504260001</v>
      </c>
      <c r="I1019" s="34">
        <f>(C1019*1.16814159292)+(-2)</f>
        <v>26.619469026540003</v>
      </c>
      <c r="J1019" s="34">
        <f>(C1019*1.1238938053)+(-3.9)</f>
        <v>23.635398229850004</v>
      </c>
      <c r="K1019" s="34">
        <f>(C1019*1.07964601769)+(-5.6)</f>
        <v>20.851327433405004</v>
      </c>
    </row>
    <row r="1020" spans="1:11" s="21" customFormat="1" ht="19.95" customHeight="1" x14ac:dyDescent="0.25">
      <c r="A1020" s="13" t="str">
        <f>"13347"</f>
        <v>13347</v>
      </c>
      <c r="B1020" s="14" t="s">
        <v>1365</v>
      </c>
      <c r="C1020" s="13" t="str">
        <f>"28.1"</f>
        <v>28.1</v>
      </c>
      <c r="D1020" s="32">
        <f>(C1020*1.24778761061)+(0.4)</f>
        <v>35.462831858141001</v>
      </c>
      <c r="E1020" s="33">
        <f>(C1020*1.16814159292)+(-1)</f>
        <v>31.824778761052002</v>
      </c>
      <c r="F1020" s="33">
        <f>(C1020*1.1238938053)+(-4.4)</f>
        <v>27.181415928930001</v>
      </c>
      <c r="G1020" s="33">
        <f>(C1020*1.06194690265)+(-5.9)</f>
        <v>23.940707964464998</v>
      </c>
      <c r="H1020" s="34">
        <f>(C1020*1.19469026548)+(0)</f>
        <v>33.570796459988003</v>
      </c>
      <c r="I1020" s="34">
        <f>(C1020*1.16814159292)+(-2)</f>
        <v>30.824778761052002</v>
      </c>
      <c r="J1020" s="34">
        <f>(C1020*1.1238938053)+(-3.9)</f>
        <v>27.681415928930004</v>
      </c>
      <c r="K1020" s="34">
        <f>(C1020*1.07964601769)+(-5.6)</f>
        <v>24.738053097089001</v>
      </c>
    </row>
    <row r="1021" spans="1:11" s="21" customFormat="1" ht="19.95" customHeight="1" x14ac:dyDescent="0.25">
      <c r="A1021" s="13" t="str">
        <f>"3190"</f>
        <v>3190</v>
      </c>
      <c r="B1021" s="14" t="s">
        <v>1366</v>
      </c>
      <c r="C1021" s="13" t="str">
        <f>"6.6"</f>
        <v>6.6</v>
      </c>
      <c r="D1021" s="32">
        <f>(C1021*1.24778761061)+(0.4)</f>
        <v>8.6353982300260004</v>
      </c>
      <c r="E1021" s="33">
        <f>(C1021*1.16814159292)+(-1)</f>
        <v>6.7097345132720001</v>
      </c>
      <c r="F1021" s="33">
        <f>(C1021*1.1238938053)+(-4.4)</f>
        <v>3.0176991149799992</v>
      </c>
      <c r="G1021" s="33">
        <f>(C1021*1.06194690265)+(-5.9)</f>
        <v>1.1088495574899984</v>
      </c>
      <c r="H1021" s="34">
        <f>(C1021*1.19469026548)+(0)</f>
        <v>7.8849557521679996</v>
      </c>
      <c r="I1021" s="34">
        <f>(C1021*1.16814159292)+(-2)</f>
        <v>5.7097345132720001</v>
      </c>
      <c r="J1021" s="34">
        <f>(C1021*1.1238938053)+(-3.9)</f>
        <v>3.5176991149799997</v>
      </c>
      <c r="K1021" s="34">
        <f>(C1021*1.07964601769)+(-5.6)</f>
        <v>1.5256637167539999</v>
      </c>
    </row>
    <row r="1022" spans="1:11" s="21" customFormat="1" ht="19.95" customHeight="1" x14ac:dyDescent="0.25">
      <c r="A1022" s="13" t="str">
        <f>"80250"</f>
        <v>80250</v>
      </c>
      <c r="B1022" s="14" t="s">
        <v>1367</v>
      </c>
      <c r="C1022" s="13" t="str">
        <f>"19.7"</f>
        <v>19.7</v>
      </c>
      <c r="D1022" s="32">
        <f>(C1022*1.24778761061)+(0.4)</f>
        <v>24.981415929017</v>
      </c>
      <c r="E1022" s="33">
        <f>(C1022*1.16814159292)+(-1)</f>
        <v>22.012389380524002</v>
      </c>
      <c r="F1022" s="33">
        <f>(C1022*1.1238938053)+(-4.4)</f>
        <v>17.740707964409999</v>
      </c>
      <c r="G1022" s="33">
        <f>(C1022*1.06194690265)+(-5.9)</f>
        <v>15.020353982204997</v>
      </c>
      <c r="H1022" s="34">
        <f>(C1022*1.19469026548)+(0)</f>
        <v>23.535398229955998</v>
      </c>
      <c r="I1022" s="34">
        <f>(C1022*1.16814159292)+(-2)</f>
        <v>21.012389380524002</v>
      </c>
      <c r="J1022" s="34">
        <f>(C1022*1.1238938053)+(-3.9)</f>
        <v>18.240707964410003</v>
      </c>
      <c r="K1022" s="34">
        <f>(C1022*1.07964601769)+(-5.6)</f>
        <v>15.669026548492999</v>
      </c>
    </row>
    <row r="1023" spans="1:11" s="21" customFormat="1" ht="19.95" customHeight="1" x14ac:dyDescent="0.25">
      <c r="A1023" s="13" t="str">
        <f>"1001062"</f>
        <v>1001062</v>
      </c>
      <c r="B1023" s="14" t="s">
        <v>1368</v>
      </c>
      <c r="C1023" s="13" t="str">
        <f>"31.9"</f>
        <v>31.9</v>
      </c>
      <c r="D1023" s="32">
        <f>(C1023*1.24778761061)+(0.4)</f>
        <v>40.204424778459</v>
      </c>
      <c r="E1023" s="33">
        <f>(C1023*1.16814159292)+(-1)</f>
        <v>36.263716814147998</v>
      </c>
      <c r="F1023" s="33">
        <f>(C1023*1.1238938053)+(-4.4)</f>
        <v>31.452212389069999</v>
      </c>
      <c r="G1023" s="33">
        <f>(C1023*1.06194690265)+(-5.9)</f>
        <v>27.976106194534999</v>
      </c>
      <c r="H1023" s="34">
        <f>(C1023*1.19469026548)+(0)</f>
        <v>38.110619468811997</v>
      </c>
      <c r="I1023" s="34">
        <f>(C1023*1.16814159292)+(-2)</f>
        <v>35.263716814147998</v>
      </c>
      <c r="J1023" s="34">
        <f>(C1023*1.1238938053)+(-3.9)</f>
        <v>31.952212389069999</v>
      </c>
      <c r="K1023" s="34">
        <f>(C1023*1.07964601769)+(-5.6)</f>
        <v>28.840707964311001</v>
      </c>
    </row>
    <row r="1024" spans="1:11" s="21" customFormat="1" ht="19.95" customHeight="1" x14ac:dyDescent="0.25">
      <c r="A1024" s="13" t="str">
        <f>"44427"</f>
        <v>44427</v>
      </c>
      <c r="B1024" s="14" t="s">
        <v>1369</v>
      </c>
      <c r="C1024" s="13" t="str">
        <f>"27.0"</f>
        <v>27.0</v>
      </c>
      <c r="D1024" s="32">
        <f>(C1024*1.24778761061)+(0.4)</f>
        <v>34.090265486470003</v>
      </c>
      <c r="E1024" s="33">
        <f>(C1024*1.16814159292)+(-1)</f>
        <v>30.539823008840003</v>
      </c>
      <c r="F1024" s="33">
        <f>(C1024*1.1238938053)+(-4.4)</f>
        <v>25.945132743100004</v>
      </c>
      <c r="G1024" s="33">
        <f>(C1024*1.06194690265)+(-5.9)</f>
        <v>22.772566371549999</v>
      </c>
      <c r="H1024" s="34">
        <f>(C1024*1.19469026548)+(0)</f>
        <v>32.256637167960001</v>
      </c>
      <c r="I1024" s="34">
        <f>(C1024*1.16814159292)+(-2)</f>
        <v>29.539823008840003</v>
      </c>
      <c r="J1024" s="34">
        <f>(C1024*1.1238938053)+(-3.9)</f>
        <v>26.445132743100004</v>
      </c>
      <c r="K1024" s="34">
        <f>(C1024*1.07964601769)+(-5.6)</f>
        <v>23.55044247763</v>
      </c>
    </row>
    <row r="1025" spans="1:11" s="21" customFormat="1" ht="19.95" customHeight="1" x14ac:dyDescent="0.25">
      <c r="A1025" s="13" t="str">
        <f>"79534"</f>
        <v>79534</v>
      </c>
      <c r="B1025" s="14" t="s">
        <v>1370</v>
      </c>
      <c r="C1025" s="13" t="str">
        <f>"22.2"</f>
        <v>22.2</v>
      </c>
      <c r="D1025" s="32">
        <f>(C1025*1.24778761061)+(0.4)</f>
        <v>28.100884955542</v>
      </c>
      <c r="E1025" s="33">
        <f>(C1025*1.16814159292)+(-1)</f>
        <v>24.932743362824002</v>
      </c>
      <c r="F1025" s="33">
        <f>(C1025*1.1238938053)+(-4.4)</f>
        <v>20.550442477659999</v>
      </c>
      <c r="G1025" s="33">
        <f>(C1025*1.06194690265)+(-5.9)</f>
        <v>17.675221238829998</v>
      </c>
      <c r="H1025" s="34">
        <f>(C1025*1.19469026548)+(0)</f>
        <v>26.522123893655998</v>
      </c>
      <c r="I1025" s="34">
        <f>(C1025*1.16814159292)+(-2)</f>
        <v>23.932743362824002</v>
      </c>
      <c r="J1025" s="34">
        <f>(C1025*1.1238938053)+(-3.9)</f>
        <v>21.050442477660003</v>
      </c>
      <c r="K1025" s="34">
        <f>(C1025*1.07964601769)+(-5.6)</f>
        <v>18.368141592717997</v>
      </c>
    </row>
    <row r="1026" spans="1:11" s="21" customFormat="1" ht="19.95" customHeight="1" x14ac:dyDescent="0.25">
      <c r="A1026" s="13" t="str">
        <f>"16619"</f>
        <v>16619</v>
      </c>
      <c r="B1026" s="14" t="s">
        <v>1371</v>
      </c>
      <c r="C1026" s="13" t="str">
        <f>"21.6"</f>
        <v>21.6</v>
      </c>
      <c r="D1026" s="32">
        <f>(C1026*1.24778761061)+(0.4)</f>
        <v>27.352212389176003</v>
      </c>
      <c r="E1026" s="33">
        <f>(C1026*1.16814159292)+(-1)</f>
        <v>24.231858407072004</v>
      </c>
      <c r="F1026" s="33">
        <f>(C1026*1.1238938053)+(-4.4)</f>
        <v>19.876106194480002</v>
      </c>
      <c r="G1026" s="33">
        <f>(C1026*1.06194690265)+(-5.9)</f>
        <v>17.038053097240002</v>
      </c>
      <c r="H1026" s="34">
        <f>(C1026*1.19469026548)+(0)</f>
        <v>25.805309734368002</v>
      </c>
      <c r="I1026" s="34">
        <f>(C1026*1.16814159292)+(-2)</f>
        <v>23.231858407072004</v>
      </c>
      <c r="J1026" s="34">
        <f>(C1026*1.1238938053)+(-3.9)</f>
        <v>20.376106194480005</v>
      </c>
      <c r="K1026" s="34">
        <f>(C1026*1.07964601769)+(-5.6)</f>
        <v>17.720353982104001</v>
      </c>
    </row>
    <row r="1027" spans="1:11" s="21" customFormat="1" ht="19.95" customHeight="1" x14ac:dyDescent="0.25">
      <c r="A1027" s="13" t="str">
        <f>"14978"</f>
        <v>14978</v>
      </c>
      <c r="B1027" s="14" t="s">
        <v>1372</v>
      </c>
      <c r="C1027" s="13" t="str">
        <f>"17.4"</f>
        <v>17.4</v>
      </c>
      <c r="D1027" s="32">
        <f>(C1027*1.24778761061)+(0.4)</f>
        <v>22.111504424613997</v>
      </c>
      <c r="E1027" s="33">
        <f>(C1027*1.16814159292)+(-1)</f>
        <v>19.325663716807998</v>
      </c>
      <c r="F1027" s="33">
        <f>(C1027*1.1238938053)+(-4.4)</f>
        <v>15.155752212219999</v>
      </c>
      <c r="G1027" s="33">
        <f>(C1027*1.06194690265)+(-5.9)</f>
        <v>12.577876106109995</v>
      </c>
      <c r="H1027" s="34">
        <f>(C1027*1.19469026548)+(0)</f>
        <v>20.787610619351998</v>
      </c>
      <c r="I1027" s="34">
        <f>(C1027*1.16814159292)+(-2)</f>
        <v>18.325663716807998</v>
      </c>
      <c r="J1027" s="34">
        <f>(C1027*1.1238938053)+(-3.9)</f>
        <v>15.655752212219999</v>
      </c>
      <c r="K1027" s="34">
        <f>(C1027*1.07964601769)+(-5.6)</f>
        <v>13.185840707805999</v>
      </c>
    </row>
    <row r="1028" spans="1:11" s="21" customFormat="1" ht="19.95" customHeight="1" x14ac:dyDescent="0.25">
      <c r="A1028" s="13" t="str">
        <f>"47602"</f>
        <v>47602</v>
      </c>
      <c r="B1028" s="14" t="s">
        <v>1373</v>
      </c>
      <c r="C1028" s="13" t="str">
        <f>"14.3"</f>
        <v>14.3</v>
      </c>
      <c r="D1028" s="32">
        <f>(C1028*1.24778761061)+(0.4)</f>
        <v>18.243362831723001</v>
      </c>
      <c r="E1028" s="33">
        <f>(C1028*1.16814159292)+(-1)</f>
        <v>15.704424778756003</v>
      </c>
      <c r="F1028" s="33">
        <f>(C1028*1.1238938053)+(-4.4)</f>
        <v>11.671681415790003</v>
      </c>
      <c r="G1028" s="33">
        <f>(C1028*1.06194690265)+(-5.9)</f>
        <v>9.2858407078949998</v>
      </c>
      <c r="H1028" s="34">
        <f>(C1028*1.19469026548)+(0)</f>
        <v>17.084070796363999</v>
      </c>
      <c r="I1028" s="34">
        <f>(C1028*1.16814159292)+(-2)</f>
        <v>14.704424778756003</v>
      </c>
      <c r="J1028" s="34">
        <f>(C1028*1.1238938053)+(-3.9)</f>
        <v>12.171681415790003</v>
      </c>
      <c r="K1028" s="34">
        <f>(C1028*1.07964601769)+(-5.6)</f>
        <v>9.8389380529670021</v>
      </c>
    </row>
    <row r="1029" spans="1:11" s="21" customFormat="1" ht="19.95" customHeight="1" x14ac:dyDescent="0.25">
      <c r="A1029" s="13" t="str">
        <f>"1000574"</f>
        <v>1000574</v>
      </c>
      <c r="B1029" s="14" t="s">
        <v>1374</v>
      </c>
      <c r="C1029" s="13" t="str">
        <f>"18.6"</f>
        <v>18.6</v>
      </c>
      <c r="D1029" s="32">
        <f>(C1029*1.24778761061)+(0.4)</f>
        <v>23.608849557346002</v>
      </c>
      <c r="E1029" s="33">
        <f>(C1029*1.16814159292)+(-1)</f>
        <v>20.727433628312003</v>
      </c>
      <c r="F1029" s="33">
        <f>(C1029*1.1238938053)+(-4.4)</f>
        <v>16.504424778580002</v>
      </c>
      <c r="G1029" s="33">
        <f>(C1029*1.06194690265)+(-5.9)</f>
        <v>13.852212389290001</v>
      </c>
      <c r="H1029" s="34">
        <f>(C1029*1.19469026548)+(0)</f>
        <v>22.221238937928003</v>
      </c>
      <c r="I1029" s="34">
        <f>(C1029*1.16814159292)+(-2)</f>
        <v>19.727433628312003</v>
      </c>
      <c r="J1029" s="34">
        <f>(C1029*1.1238938053)+(-3.9)</f>
        <v>17.004424778580002</v>
      </c>
      <c r="K1029" s="34">
        <f>(C1029*1.07964601769)+(-5.6)</f>
        <v>14.481415929034002</v>
      </c>
    </row>
    <row r="1030" spans="1:11" s="21" customFormat="1" ht="19.95" customHeight="1" x14ac:dyDescent="0.25">
      <c r="A1030" s="13" t="str">
        <f>"75268"</f>
        <v>75268</v>
      </c>
      <c r="B1030" s="14" t="s">
        <v>1375</v>
      </c>
      <c r="C1030" s="13" t="str">
        <f>"+0.4"</f>
        <v>+0.4</v>
      </c>
      <c r="D1030" s="32">
        <f>(C1030*1.24778761061)+(0.4)</f>
        <v>0.89911504424400013</v>
      </c>
      <c r="E1030" s="33">
        <f>(C1030*1.16814159292)+(-1)</f>
        <v>-0.53274336283199997</v>
      </c>
      <c r="F1030" s="33">
        <f>(C1030*1.1238938053)+(-4.4)</f>
        <v>-3.9504424778800002</v>
      </c>
      <c r="G1030" s="33">
        <f>(C1030*1.06194690265)+(-5.9)</f>
        <v>-5.4752212389400006</v>
      </c>
      <c r="H1030" s="34">
        <f>(C1030*1.19469026548)+(0)</f>
        <v>0.47787610619200005</v>
      </c>
      <c r="I1030" s="34">
        <f>(C1030*1.16814159292)+(-2)</f>
        <v>-1.532743362832</v>
      </c>
      <c r="J1030" s="34">
        <f>(C1030*1.1238938053)+(-3.9)</f>
        <v>-3.4504424778799998</v>
      </c>
      <c r="K1030" s="34">
        <f>(C1030*1.07964601769)+(-5.6)</f>
        <v>-5.168141592924</v>
      </c>
    </row>
    <row r="1031" spans="1:11" s="21" customFormat="1" ht="19.95" customHeight="1" x14ac:dyDescent="0.25">
      <c r="A1031" s="13" t="str">
        <f>"47470"</f>
        <v>47470</v>
      </c>
      <c r="B1031" s="14" t="s">
        <v>1376</v>
      </c>
      <c r="C1031" s="13" t="str">
        <f>"7.8"</f>
        <v>7.8</v>
      </c>
      <c r="D1031" s="32">
        <f>(C1031*1.24778761061)+(0.4)</f>
        <v>10.132743362758001</v>
      </c>
      <c r="E1031" s="33">
        <f>(C1031*1.16814159292)+(-1)</f>
        <v>8.1115044247760011</v>
      </c>
      <c r="F1031" s="33">
        <f>(C1031*1.1238938053)+(-4.4)</f>
        <v>4.3663716813400004</v>
      </c>
      <c r="G1031" s="33">
        <f>(C1031*1.06194690265)+(-5.9)</f>
        <v>2.3831858406699986</v>
      </c>
      <c r="H1031" s="34">
        <f>(C1031*1.19469026548)+(0)</f>
        <v>9.3185840707440004</v>
      </c>
      <c r="I1031" s="34">
        <f>(C1031*1.16814159292)+(-2)</f>
        <v>7.1115044247760011</v>
      </c>
      <c r="J1031" s="34">
        <f>(C1031*1.1238938053)+(-3.9)</f>
        <v>4.8663716813400004</v>
      </c>
      <c r="K1031" s="34">
        <f>(C1031*1.07964601769)+(-5.6)</f>
        <v>2.8212389379820006</v>
      </c>
    </row>
    <row r="1032" spans="1:11" s="21" customFormat="1" ht="19.95" customHeight="1" x14ac:dyDescent="0.25">
      <c r="A1032" s="13" t="str">
        <f>"28637"</f>
        <v>28637</v>
      </c>
      <c r="B1032" s="14" t="s">
        <v>1377</v>
      </c>
      <c r="C1032" s="13" t="str">
        <f>"24.6"</f>
        <v>24.6</v>
      </c>
      <c r="D1032" s="32">
        <f>(C1032*1.24778761061)+(0.4)</f>
        <v>31.095575221006001</v>
      </c>
      <c r="E1032" s="33">
        <f>(C1032*1.16814159292)+(-1)</f>
        <v>27.736283185832004</v>
      </c>
      <c r="F1032" s="33">
        <f>(C1032*1.1238938053)+(-4.4)</f>
        <v>23.247787610380001</v>
      </c>
      <c r="G1032" s="33">
        <f>(C1032*1.06194690265)+(-5.9)</f>
        <v>20.223893805190002</v>
      </c>
      <c r="H1032" s="34">
        <f>(C1032*1.19469026548)+(0)</f>
        <v>29.389380530808001</v>
      </c>
      <c r="I1032" s="34">
        <f>(C1032*1.16814159292)+(-2)</f>
        <v>26.736283185832004</v>
      </c>
      <c r="J1032" s="34">
        <f>(C1032*1.1238938053)+(-3.9)</f>
        <v>23.747787610380005</v>
      </c>
      <c r="K1032" s="34">
        <f>(C1032*1.07964601769)+(-5.6)</f>
        <v>20.959292035174002</v>
      </c>
    </row>
    <row r="1033" spans="1:11" s="21" customFormat="1" ht="19.95" customHeight="1" x14ac:dyDescent="0.25">
      <c r="A1033" s="13" t="str">
        <f>"16064"</f>
        <v>16064</v>
      </c>
      <c r="B1033" s="14" t="s">
        <v>1378</v>
      </c>
      <c r="C1033" s="13" t="str">
        <f>"22.1"</f>
        <v>22.1</v>
      </c>
      <c r="D1033" s="32">
        <f>(C1033*1.24778761061)+(0.4)</f>
        <v>27.976106194481002</v>
      </c>
      <c r="E1033" s="33">
        <f>(C1033*1.16814159292)+(-1)</f>
        <v>24.815929203532004</v>
      </c>
      <c r="F1033" s="33">
        <f>(C1033*1.1238938053)+(-4.4)</f>
        <v>20.438053097130002</v>
      </c>
      <c r="G1033" s="33">
        <f>(C1033*1.06194690265)+(-5.9)</f>
        <v>17.569026548564999</v>
      </c>
      <c r="H1033" s="34">
        <f>(C1033*1.19469026548)+(0)</f>
        <v>26.402654867108001</v>
      </c>
      <c r="I1033" s="34">
        <f>(C1033*1.16814159292)+(-2)</f>
        <v>23.815929203532004</v>
      </c>
      <c r="J1033" s="34">
        <f>(C1033*1.1238938053)+(-3.9)</f>
        <v>20.938053097130005</v>
      </c>
      <c r="K1033" s="34">
        <f>(C1033*1.07964601769)+(-5.6)</f>
        <v>18.260176990948999</v>
      </c>
    </row>
    <row r="1034" spans="1:11" s="21" customFormat="1" ht="19.95" customHeight="1" x14ac:dyDescent="0.25">
      <c r="A1034" s="13" t="str">
        <f>"81402"</f>
        <v>81402</v>
      </c>
      <c r="B1034" s="14" t="s">
        <v>1379</v>
      </c>
      <c r="C1034" s="13" t="str">
        <f>"30.2"</f>
        <v>30.2</v>
      </c>
      <c r="D1034" s="32">
        <f>(C1034*1.24778761061)+(0.4)</f>
        <v>38.083185840421997</v>
      </c>
      <c r="E1034" s="33">
        <f>(C1034*1.16814159292)+(-1)</f>
        <v>34.277876106184003</v>
      </c>
      <c r="F1034" s="33">
        <f>(C1034*1.1238938053)+(-4.4)</f>
        <v>29.541592920060005</v>
      </c>
      <c r="G1034" s="33">
        <f>(C1034*1.06194690265)+(-5.9)</f>
        <v>26.170796460029997</v>
      </c>
      <c r="H1034" s="34">
        <f>(C1034*1.19469026548)+(0)</f>
        <v>36.079646017495996</v>
      </c>
      <c r="I1034" s="34">
        <f>(C1034*1.16814159292)+(-2)</f>
        <v>33.277876106184003</v>
      </c>
      <c r="J1034" s="34">
        <f>(C1034*1.1238938053)+(-3.9)</f>
        <v>30.041592920060005</v>
      </c>
      <c r="K1034" s="34">
        <f>(C1034*1.07964601769)+(-5.6)</f>
        <v>27.005309734237997</v>
      </c>
    </row>
    <row r="1035" spans="1:11" s="21" customFormat="1" ht="19.95" customHeight="1" x14ac:dyDescent="0.25">
      <c r="A1035" s="13" t="str">
        <f>"73080"</f>
        <v>73080</v>
      </c>
      <c r="B1035" s="14" t="s">
        <v>1380</v>
      </c>
      <c r="C1035" s="13" t="str">
        <f>"24.6"</f>
        <v>24.6</v>
      </c>
      <c r="D1035" s="32">
        <f>(C1035*1.24778761061)+(0.4)</f>
        <v>31.095575221006001</v>
      </c>
      <c r="E1035" s="33">
        <f>(C1035*1.16814159292)+(-1)</f>
        <v>27.736283185832004</v>
      </c>
      <c r="F1035" s="33">
        <f>(C1035*1.1238938053)+(-4.4)</f>
        <v>23.247787610380001</v>
      </c>
      <c r="G1035" s="33">
        <f>(C1035*1.06194690265)+(-5.9)</f>
        <v>20.223893805190002</v>
      </c>
      <c r="H1035" s="34">
        <f>(C1035*1.19469026548)+(0)</f>
        <v>29.389380530808001</v>
      </c>
      <c r="I1035" s="34">
        <f>(C1035*1.16814159292)+(-2)</f>
        <v>26.736283185832004</v>
      </c>
      <c r="J1035" s="34">
        <f>(C1035*1.1238938053)+(-3.9)</f>
        <v>23.747787610380005</v>
      </c>
      <c r="K1035" s="34">
        <f>(C1035*1.07964601769)+(-5.6)</f>
        <v>20.959292035174002</v>
      </c>
    </row>
    <row r="1036" spans="1:11" s="21" customFormat="1" ht="19.95" customHeight="1" x14ac:dyDescent="0.25">
      <c r="A1036" s="13" t="str">
        <f>"66534"</f>
        <v>66534</v>
      </c>
      <c r="B1036" s="14" t="s">
        <v>1381</v>
      </c>
      <c r="C1036" s="13" t="str">
        <f>"13.6"</f>
        <v>13.6</v>
      </c>
      <c r="D1036" s="32">
        <f>(C1036*1.24778761061)+(0.4)</f>
        <v>17.369911504295999</v>
      </c>
      <c r="E1036" s="33">
        <f>(C1036*1.16814159292)+(-1)</f>
        <v>14.886725663712001</v>
      </c>
      <c r="F1036" s="33">
        <f>(C1036*1.1238938053)+(-4.4)</f>
        <v>10.88495575208</v>
      </c>
      <c r="G1036" s="33">
        <f>(C1036*1.06194690265)+(-5.9)</f>
        <v>8.5424778760399978</v>
      </c>
      <c r="H1036" s="34">
        <f>(C1036*1.19469026548)+(0)</f>
        <v>16.247787610528</v>
      </c>
      <c r="I1036" s="34">
        <f>(C1036*1.16814159292)+(-2)</f>
        <v>13.886725663712001</v>
      </c>
      <c r="J1036" s="34">
        <f>(C1036*1.1238938053)+(-3.9)</f>
        <v>11.38495575208</v>
      </c>
      <c r="K1036" s="34">
        <f>(C1036*1.07964601769)+(-5.6)</f>
        <v>9.0831858405840009</v>
      </c>
    </row>
    <row r="1037" spans="1:11" s="21" customFormat="1" ht="19.95" customHeight="1" x14ac:dyDescent="0.25">
      <c r="A1037" s="13" t="str">
        <f>"67813"</f>
        <v>67813</v>
      </c>
      <c r="B1037" s="14" t="s">
        <v>1382</v>
      </c>
      <c r="C1037" s="13" t="str">
        <f>"13.7"</f>
        <v>13.7</v>
      </c>
      <c r="D1037" s="32">
        <f>(C1037*1.24778761061)+(0.4)</f>
        <v>17.494690265357001</v>
      </c>
      <c r="E1037" s="33">
        <f>(C1037*1.16814159292)+(-1)</f>
        <v>15.003539823004001</v>
      </c>
      <c r="F1037" s="33">
        <f>(C1037*1.1238938053)+(-4.4)</f>
        <v>10.997345132609999</v>
      </c>
      <c r="G1037" s="33">
        <f>(C1037*1.06194690265)+(-5.9)</f>
        <v>8.648672566304997</v>
      </c>
      <c r="H1037" s="34">
        <f>(C1037*1.19469026548)+(0)</f>
        <v>16.367256637076</v>
      </c>
      <c r="I1037" s="34">
        <f>(C1037*1.16814159292)+(-2)</f>
        <v>14.003539823004001</v>
      </c>
      <c r="J1037" s="34">
        <f>(C1037*1.1238938053)+(-3.9)</f>
        <v>11.497345132609999</v>
      </c>
      <c r="K1037" s="34">
        <f>(C1037*1.07964601769)+(-5.6)</f>
        <v>9.1911504423529991</v>
      </c>
    </row>
    <row r="1038" spans="1:11" s="21" customFormat="1" ht="19.95" customHeight="1" x14ac:dyDescent="0.25">
      <c r="A1038" s="13" t="str">
        <f>"66535"</f>
        <v>66535</v>
      </c>
      <c r="B1038" s="14" t="s">
        <v>1383</v>
      </c>
      <c r="C1038" s="13" t="str">
        <f>"+1.4"</f>
        <v>+1.4</v>
      </c>
      <c r="D1038" s="32">
        <f>(C1038*1.24778761061)+(0.4)</f>
        <v>2.1469026548540002</v>
      </c>
      <c r="E1038" s="33">
        <f>(C1038*1.16814159292)+(-1)</f>
        <v>0.63539823008800012</v>
      </c>
      <c r="F1038" s="33">
        <f>(C1038*1.1238938053)+(-4.4)</f>
        <v>-2.8265486725800004</v>
      </c>
      <c r="G1038" s="33">
        <f>(C1038*1.06194690265)+(-5.9)</f>
        <v>-4.4132743362900007</v>
      </c>
      <c r="H1038" s="34">
        <f>(C1038*1.19469026548)+(0)</f>
        <v>1.6725663716719998</v>
      </c>
      <c r="I1038" s="34">
        <f>(C1038*1.16814159292)+(-2)</f>
        <v>-0.36460176991199988</v>
      </c>
      <c r="J1038" s="34">
        <f>(C1038*1.1238938053)+(-3.9)</f>
        <v>-2.32654867258</v>
      </c>
      <c r="K1038" s="34">
        <f>(C1038*1.07964601769)+(-5.6)</f>
        <v>-4.088495575234</v>
      </c>
    </row>
    <row r="1039" spans="1:11" s="21" customFormat="1" ht="19.95" customHeight="1" x14ac:dyDescent="0.25">
      <c r="A1039" s="13" t="str">
        <f>"3564"</f>
        <v>3564</v>
      </c>
      <c r="B1039" s="14" t="s">
        <v>1384</v>
      </c>
      <c r="C1039" s="13" t="str">
        <f>"13.5"</f>
        <v>13.5</v>
      </c>
      <c r="D1039" s="32">
        <f>(C1039*1.24778761061)+(0.4)</f>
        <v>17.245132743235001</v>
      </c>
      <c r="E1039" s="33">
        <f>(C1039*1.16814159292)+(-1)</f>
        <v>14.769911504420001</v>
      </c>
      <c r="F1039" s="33">
        <f>(C1039*1.1238938053)+(-4.4)</f>
        <v>10.772566371550001</v>
      </c>
      <c r="G1039" s="33">
        <f>(C1039*1.06194690265)+(-5.9)</f>
        <v>8.4362831857749985</v>
      </c>
      <c r="H1039" s="34">
        <f>(C1039*1.19469026548)+(0)</f>
        <v>16.128318583980001</v>
      </c>
      <c r="I1039" s="34">
        <f>(C1039*1.16814159292)+(-2)</f>
        <v>13.769911504420001</v>
      </c>
      <c r="J1039" s="34">
        <f>(C1039*1.1238938053)+(-3.9)</f>
        <v>11.272566371550001</v>
      </c>
      <c r="K1039" s="34">
        <f>(C1039*1.07964601769)+(-5.6)</f>
        <v>8.975221238815001</v>
      </c>
    </row>
    <row r="1040" spans="1:11" s="21" customFormat="1" ht="19.95" customHeight="1" x14ac:dyDescent="0.25">
      <c r="A1040" s="13" t="str">
        <f>"20163"</f>
        <v>20163</v>
      </c>
      <c r="B1040" s="14" t="s">
        <v>1385</v>
      </c>
      <c r="C1040" s="13" t="str">
        <f>"19.8"</f>
        <v>19.8</v>
      </c>
      <c r="D1040" s="32">
        <f>(C1040*1.24778761061)+(0.4)</f>
        <v>25.106194690078002</v>
      </c>
      <c r="E1040" s="33">
        <f>(C1040*1.16814159292)+(-1)</f>
        <v>22.129203539816004</v>
      </c>
      <c r="F1040" s="33">
        <f>(C1040*1.1238938053)+(-4.4)</f>
        <v>17.853097344940004</v>
      </c>
      <c r="G1040" s="33">
        <f>(C1040*1.06194690265)+(-5.9)</f>
        <v>15.126548672469999</v>
      </c>
      <c r="H1040" s="34">
        <f>(C1040*1.19469026548)+(0)</f>
        <v>23.654867256504001</v>
      </c>
      <c r="I1040" s="34">
        <f>(C1040*1.16814159292)+(-2)</f>
        <v>21.129203539816004</v>
      </c>
      <c r="J1040" s="34">
        <f>(C1040*1.1238938053)+(-3.9)</f>
        <v>18.353097344940004</v>
      </c>
      <c r="K1040" s="34">
        <f>(C1040*1.07964601769)+(-5.6)</f>
        <v>15.776991150262001</v>
      </c>
    </row>
    <row r="1041" spans="1:11" s="21" customFormat="1" ht="19.95" customHeight="1" x14ac:dyDescent="0.25">
      <c r="A1041" s="13" t="str">
        <f>"60838"</f>
        <v>60838</v>
      </c>
      <c r="B1041" s="14" t="s">
        <v>1386</v>
      </c>
      <c r="C1041" s="13" t="str">
        <f>"21.6"</f>
        <v>21.6</v>
      </c>
      <c r="D1041" s="32">
        <f>(C1041*1.24778761061)+(0.4)</f>
        <v>27.352212389176003</v>
      </c>
      <c r="E1041" s="33">
        <f>(C1041*1.16814159292)+(-1)</f>
        <v>24.231858407072004</v>
      </c>
      <c r="F1041" s="33">
        <f>(C1041*1.1238938053)+(-4.4)</f>
        <v>19.876106194480002</v>
      </c>
      <c r="G1041" s="33">
        <f>(C1041*1.06194690265)+(-5.9)</f>
        <v>17.038053097240002</v>
      </c>
      <c r="H1041" s="34">
        <f>(C1041*1.19469026548)+(0)</f>
        <v>25.805309734368002</v>
      </c>
      <c r="I1041" s="34">
        <f>(C1041*1.16814159292)+(-2)</f>
        <v>23.231858407072004</v>
      </c>
      <c r="J1041" s="34">
        <f>(C1041*1.1238938053)+(-3.9)</f>
        <v>20.376106194480005</v>
      </c>
      <c r="K1041" s="34">
        <f>(C1041*1.07964601769)+(-5.6)</f>
        <v>17.720353982104001</v>
      </c>
    </row>
    <row r="1042" spans="1:11" s="21" customFormat="1" ht="19.95" customHeight="1" x14ac:dyDescent="0.25">
      <c r="A1042" s="13" t="str">
        <f>"16632"</f>
        <v>16632</v>
      </c>
      <c r="B1042" s="14" t="s">
        <v>1387</v>
      </c>
      <c r="C1042" s="13" t="str">
        <f>"21.0"</f>
        <v>21.0</v>
      </c>
      <c r="D1042" s="32">
        <f>(C1042*1.24778761061)+(0.4)</f>
        <v>26.603539822809999</v>
      </c>
      <c r="E1042" s="33">
        <f>(C1042*1.16814159292)+(-1)</f>
        <v>23.530973451320001</v>
      </c>
      <c r="F1042" s="33">
        <f>(C1042*1.1238938053)+(-4.4)</f>
        <v>19.201769911299998</v>
      </c>
      <c r="G1042" s="33">
        <f>(C1042*1.06194690265)+(-5.9)</f>
        <v>16.40088495565</v>
      </c>
      <c r="H1042" s="34">
        <f>(C1042*1.19469026548)+(0)</f>
        <v>25.08849557508</v>
      </c>
      <c r="I1042" s="34">
        <f>(C1042*1.16814159292)+(-2)</f>
        <v>22.530973451320001</v>
      </c>
      <c r="J1042" s="34">
        <f>(C1042*1.1238938053)+(-3.9)</f>
        <v>19.701769911300001</v>
      </c>
      <c r="K1042" s="34">
        <f>(C1042*1.07964601769)+(-5.6)</f>
        <v>17.072566371489998</v>
      </c>
    </row>
    <row r="1043" spans="1:11" s="21" customFormat="1" ht="19.95" customHeight="1" x14ac:dyDescent="0.25">
      <c r="A1043" s="13" t="str">
        <f>"33374"</f>
        <v>33374</v>
      </c>
      <c r="B1043" s="14" t="s">
        <v>1388</v>
      </c>
      <c r="C1043" s="13" t="str">
        <f>"15.5"</f>
        <v>15.5</v>
      </c>
      <c r="D1043" s="32">
        <f>(C1043*1.24778761061)+(0.4)</f>
        <v>19.740707964455002</v>
      </c>
      <c r="E1043" s="33">
        <f>(C1043*1.16814159292)+(-1)</f>
        <v>17.106194690260001</v>
      </c>
      <c r="F1043" s="33">
        <f>(C1043*1.1238938053)+(-4.4)</f>
        <v>13.020353982150001</v>
      </c>
      <c r="G1043" s="33">
        <f>(C1043*1.06194690265)+(-5.9)</f>
        <v>10.560176991074998</v>
      </c>
      <c r="H1043" s="34">
        <f>(C1043*1.19469026548)+(0)</f>
        <v>18.517699114940001</v>
      </c>
      <c r="I1043" s="34">
        <f>(C1043*1.16814159292)+(-2)</f>
        <v>16.106194690260001</v>
      </c>
      <c r="J1043" s="34">
        <f>(C1043*1.1238938053)+(-3.9)</f>
        <v>13.520353982150001</v>
      </c>
      <c r="K1043" s="34">
        <f>(C1043*1.07964601769)+(-5.6)</f>
        <v>11.134513274194999</v>
      </c>
    </row>
    <row r="1044" spans="1:11" s="21" customFormat="1" ht="19.95" customHeight="1" x14ac:dyDescent="0.25">
      <c r="A1044" s="13" t="str">
        <f>"1002414"</f>
        <v>1002414</v>
      </c>
      <c r="B1044" s="14" t="s">
        <v>1389</v>
      </c>
      <c r="C1044" s="13" t="str">
        <f>"18.0000"</f>
        <v>18.0000</v>
      </c>
      <c r="D1044" s="32">
        <f>(C1044*1.24778761061)+(0.4)</f>
        <v>22.860176990980001</v>
      </c>
      <c r="E1044" s="33">
        <f>(C1044*1.16814159292)+(-1)</f>
        <v>20.026548672560001</v>
      </c>
      <c r="F1044" s="33">
        <f>(C1044*1.1238938053)+(-4.4)</f>
        <v>15.8300884954</v>
      </c>
      <c r="G1044" s="33">
        <f>(C1044*1.06194690265)+(-5.9)</f>
        <v>13.215044247699998</v>
      </c>
      <c r="H1044" s="34">
        <f>(C1044*1.19469026548)+(0)</f>
        <v>21.504424778640001</v>
      </c>
      <c r="I1044" s="34">
        <f>(C1044*1.16814159292)+(-2)</f>
        <v>19.026548672560001</v>
      </c>
      <c r="J1044" s="34">
        <f>(C1044*1.1238938053)+(-3.9)</f>
        <v>16.330088495400002</v>
      </c>
      <c r="K1044" s="34">
        <f>(C1044*1.07964601769)+(-5.6)</f>
        <v>13.833628318419999</v>
      </c>
    </row>
    <row r="1045" spans="1:11" s="21" customFormat="1" ht="19.95" customHeight="1" x14ac:dyDescent="0.25">
      <c r="A1045" s="13" t="str">
        <f>"16635"</f>
        <v>16635</v>
      </c>
      <c r="B1045" s="14" t="s">
        <v>1390</v>
      </c>
      <c r="C1045" s="13" t="str">
        <f>"13.4"</f>
        <v>13.4</v>
      </c>
      <c r="D1045" s="32">
        <f>(C1045*1.24778761061)+(0.4)</f>
        <v>17.120353982173999</v>
      </c>
      <c r="E1045" s="33">
        <f>(C1045*1.16814159292)+(-1)</f>
        <v>14.653097345128002</v>
      </c>
      <c r="F1045" s="33">
        <f>(C1045*1.1238938053)+(-4.4)</f>
        <v>10.66017699102</v>
      </c>
      <c r="G1045" s="33">
        <f>(C1045*1.06194690265)+(-5.9)</f>
        <v>8.3300884955099992</v>
      </c>
      <c r="H1045" s="34">
        <f>(C1045*1.19469026548)+(0)</f>
        <v>16.008849557432001</v>
      </c>
      <c r="I1045" s="34">
        <f>(C1045*1.16814159292)+(-2)</f>
        <v>13.653097345128002</v>
      </c>
      <c r="J1045" s="34">
        <f>(C1045*1.1238938053)+(-3.9)</f>
        <v>11.16017699102</v>
      </c>
      <c r="K1045" s="34">
        <f>(C1045*1.07964601769)+(-5.6)</f>
        <v>8.8672566370460011</v>
      </c>
    </row>
    <row r="1046" spans="1:11" s="21" customFormat="1" ht="19.95" customHeight="1" x14ac:dyDescent="0.25">
      <c r="A1046" s="13" t="str">
        <f>"1003769"</f>
        <v>1003769</v>
      </c>
      <c r="B1046" s="14" t="s">
        <v>1391</v>
      </c>
      <c r="C1046" s="13" t="str">
        <f>"20.1"</f>
        <v>20.1</v>
      </c>
      <c r="D1046" s="32">
        <f>(C1046*1.24778761061)+(0.4)</f>
        <v>25.480530973261001</v>
      </c>
      <c r="E1046" s="33">
        <f>(C1046*1.16814159292)+(-1)</f>
        <v>22.479646017692005</v>
      </c>
      <c r="F1046" s="33">
        <f>(C1046*1.1238938053)+(-4.4)</f>
        <v>18.190265486530002</v>
      </c>
      <c r="G1046" s="33">
        <f>(C1046*1.06194690265)+(-5.9)</f>
        <v>15.445132743265001</v>
      </c>
      <c r="H1046" s="34">
        <f>(C1046*1.19469026548)+(0)</f>
        <v>24.013274336148001</v>
      </c>
      <c r="I1046" s="34">
        <f>(C1046*1.16814159292)+(-2)</f>
        <v>21.479646017692005</v>
      </c>
      <c r="J1046" s="34">
        <f>(C1046*1.1238938053)+(-3.9)</f>
        <v>18.690265486530006</v>
      </c>
      <c r="K1046" s="34">
        <f>(C1046*1.07964601769)+(-5.6)</f>
        <v>16.100884955569001</v>
      </c>
    </row>
    <row r="1047" spans="1:11" s="21" customFormat="1" ht="19.95" customHeight="1" x14ac:dyDescent="0.25">
      <c r="A1047" s="13" t="str">
        <f>"70100"</f>
        <v>70100</v>
      </c>
      <c r="B1047" s="14" t="s">
        <v>1392</v>
      </c>
      <c r="C1047" s="13" t="str">
        <f>"29.0"</f>
        <v>29.0</v>
      </c>
      <c r="D1047" s="32">
        <f>(C1047*1.24778761061)+(0.4)</f>
        <v>36.585840707690004</v>
      </c>
      <c r="E1047" s="33">
        <f>(C1047*1.16814159292)+(-1)</f>
        <v>32.876106194680006</v>
      </c>
      <c r="F1047" s="33">
        <f>(C1047*1.1238938053)+(-4.4)</f>
        <v>28.192920353700003</v>
      </c>
      <c r="G1047" s="33">
        <f>(C1047*1.06194690265)+(-5.9)</f>
        <v>24.896460176849999</v>
      </c>
      <c r="H1047" s="34">
        <f>(C1047*1.19469026548)+(0)</f>
        <v>34.646017698919998</v>
      </c>
      <c r="I1047" s="34">
        <f>(C1047*1.16814159292)+(-2)</f>
        <v>31.876106194680006</v>
      </c>
      <c r="J1047" s="34">
        <f>(C1047*1.1238938053)+(-3.9)</f>
        <v>28.692920353700003</v>
      </c>
      <c r="K1047" s="34">
        <f>(C1047*1.07964601769)+(-5.6)</f>
        <v>25.709734513009998</v>
      </c>
    </row>
    <row r="1048" spans="1:11" s="21" customFormat="1" ht="19.95" customHeight="1" x14ac:dyDescent="0.25">
      <c r="A1048" s="13" t="str">
        <f>"47617"</f>
        <v>47617</v>
      </c>
      <c r="B1048" s="14" t="s">
        <v>1393</v>
      </c>
      <c r="C1048" s="13" t="str">
        <f>"7.4"</f>
        <v>7.4</v>
      </c>
      <c r="D1048" s="32">
        <f>(C1048*1.24778761061)+(0.4)</f>
        <v>9.6336283185140008</v>
      </c>
      <c r="E1048" s="33">
        <f>(C1048*1.16814159292)+(-1)</f>
        <v>7.6442477876080002</v>
      </c>
      <c r="F1048" s="33">
        <f>(C1048*1.1238938053)+(-4.4)</f>
        <v>3.9168141592200012</v>
      </c>
      <c r="G1048" s="33">
        <f>(C1048*1.06194690265)+(-5.9)</f>
        <v>1.9584070796099997</v>
      </c>
      <c r="H1048" s="34">
        <f>(C1048*1.19469026548)+(0)</f>
        <v>8.840707964552001</v>
      </c>
      <c r="I1048" s="34">
        <f>(C1048*1.16814159292)+(-2)</f>
        <v>6.6442477876080002</v>
      </c>
      <c r="J1048" s="34">
        <f>(C1048*1.1238938053)+(-3.9)</f>
        <v>4.4168141592200012</v>
      </c>
      <c r="K1048" s="34">
        <f>(C1048*1.07964601769)+(-5.6)</f>
        <v>2.389380530906001</v>
      </c>
    </row>
    <row r="1049" spans="1:11" s="21" customFormat="1" ht="19.95" customHeight="1" x14ac:dyDescent="0.25">
      <c r="A1049" s="13" t="str">
        <f>"16639"</f>
        <v>16639</v>
      </c>
      <c r="B1049" s="14" t="s">
        <v>1394</v>
      </c>
      <c r="C1049" s="13" t="str">
        <f>"20.9000"</f>
        <v>20.9000</v>
      </c>
      <c r="D1049" s="32">
        <f>(C1049*1.24778761061)+(0.4)</f>
        <v>26.478761061748997</v>
      </c>
      <c r="E1049" s="33">
        <f>(C1049*1.16814159292)+(-1)</f>
        <v>23.414159292028</v>
      </c>
      <c r="F1049" s="33">
        <f>(C1049*1.1238938053)+(-4.4)</f>
        <v>19.089380530770001</v>
      </c>
      <c r="G1049" s="33">
        <f>(C1049*1.06194690265)+(-5.9)</f>
        <v>16.294690265384993</v>
      </c>
      <c r="H1049" s="34">
        <f>(C1049*1.19469026548)+(0)</f>
        <v>24.969026548532</v>
      </c>
      <c r="I1049" s="34">
        <f>(C1049*1.16814159292)+(-2)</f>
        <v>22.414159292028</v>
      </c>
      <c r="J1049" s="34">
        <f>(C1049*1.1238938053)+(-3.9)</f>
        <v>19.589380530770001</v>
      </c>
      <c r="K1049" s="34">
        <f>(C1049*1.07964601769)+(-5.6)</f>
        <v>16.964601769721</v>
      </c>
    </row>
    <row r="1050" spans="1:11" s="21" customFormat="1" ht="19.95" customHeight="1" x14ac:dyDescent="0.25">
      <c r="A1050" s="13" t="str">
        <f>"37163"</f>
        <v>37163</v>
      </c>
      <c r="B1050" s="14" t="s">
        <v>1395</v>
      </c>
      <c r="C1050" s="13" t="str">
        <f>"11.4"</f>
        <v>11.4</v>
      </c>
      <c r="D1050" s="32">
        <f>(C1050*1.24778761061)+(0.4)</f>
        <v>14.624778760954001</v>
      </c>
      <c r="E1050" s="33">
        <f>(C1050*1.16814159292)+(-1)</f>
        <v>12.316814159288</v>
      </c>
      <c r="F1050" s="33">
        <f>(C1050*1.1238938053)+(-4.4)</f>
        <v>8.4123893804200005</v>
      </c>
      <c r="G1050" s="33">
        <f>(C1050*1.06194690265)+(-5.9)</f>
        <v>6.2061946902099994</v>
      </c>
      <c r="H1050" s="34">
        <f>(C1050*1.19469026548)+(0)</f>
        <v>13.619469026472</v>
      </c>
      <c r="I1050" s="34">
        <f>(C1050*1.16814159292)+(-2)</f>
        <v>11.316814159288</v>
      </c>
      <c r="J1050" s="34">
        <f>(C1050*1.1238938053)+(-3.9)</f>
        <v>8.9123893804200005</v>
      </c>
      <c r="K1050" s="34">
        <f>(C1050*1.07964601769)+(-5.6)</f>
        <v>6.7079646016660011</v>
      </c>
    </row>
    <row r="1051" spans="1:11" s="21" customFormat="1" ht="19.95" customHeight="1" x14ac:dyDescent="0.25">
      <c r="A1051" s="13" t="str">
        <f>"43519"</f>
        <v>43519</v>
      </c>
      <c r="B1051" s="14" t="s">
        <v>1396</v>
      </c>
      <c r="C1051" s="13" t="str">
        <f>"13.8"</f>
        <v>13.8</v>
      </c>
      <c r="D1051" s="32">
        <f>(C1051*1.24778761061)+(0.4)</f>
        <v>17.619469026418002</v>
      </c>
      <c r="E1051" s="33">
        <f>(C1051*1.16814159292)+(-1)</f>
        <v>15.120353982296002</v>
      </c>
      <c r="F1051" s="33">
        <f>(C1051*1.1238938053)+(-4.4)</f>
        <v>11.109734513140001</v>
      </c>
      <c r="G1051" s="33">
        <f>(C1051*1.06194690265)+(-5.9)</f>
        <v>8.7548672565699999</v>
      </c>
      <c r="H1051" s="34">
        <f>(C1051*1.19469026548)+(0)</f>
        <v>16.486725663624</v>
      </c>
      <c r="I1051" s="34">
        <f>(C1051*1.16814159292)+(-2)</f>
        <v>14.120353982296002</v>
      </c>
      <c r="J1051" s="34">
        <f>(C1051*1.1238938053)+(-3.9)</f>
        <v>11.609734513140001</v>
      </c>
      <c r="K1051" s="34">
        <f>(C1051*1.07964601769)+(-5.6)</f>
        <v>9.2991150441220007</v>
      </c>
    </row>
    <row r="1052" spans="1:11" s="21" customFormat="1" ht="19.95" customHeight="1" x14ac:dyDescent="0.25">
      <c r="A1052" s="13" t="str">
        <f>"37825"</f>
        <v>37825</v>
      </c>
      <c r="B1052" s="14" t="s">
        <v>1397</v>
      </c>
      <c r="C1052" s="13" t="str">
        <f>"18.2"</f>
        <v>18.2</v>
      </c>
      <c r="D1052" s="32">
        <f>(C1052*1.24778761061)+(0.4)</f>
        <v>23.109734513101998</v>
      </c>
      <c r="E1052" s="33">
        <f>(C1052*1.16814159292)+(-1)</f>
        <v>20.260176991144</v>
      </c>
      <c r="F1052" s="33">
        <f>(C1052*1.1238938053)+(-4.4)</f>
        <v>16.05486725646</v>
      </c>
      <c r="G1052" s="33">
        <f>(C1052*1.06194690265)+(-5.9)</f>
        <v>13.427433628229997</v>
      </c>
      <c r="H1052" s="34">
        <f>(C1052*1.19469026548)+(0)</f>
        <v>21.743362831736</v>
      </c>
      <c r="I1052" s="34">
        <f>(C1052*1.16814159292)+(-2)</f>
        <v>19.260176991144</v>
      </c>
      <c r="J1052" s="34">
        <f>(C1052*1.1238938053)+(-3.9)</f>
        <v>16.554867256460003</v>
      </c>
      <c r="K1052" s="34">
        <f>(C1052*1.07964601769)+(-5.6)</f>
        <v>14.049557521957999</v>
      </c>
    </row>
    <row r="1053" spans="1:11" s="21" customFormat="1" ht="19.95" customHeight="1" x14ac:dyDescent="0.25">
      <c r="A1053" s="13" t="str">
        <f>"48442"</f>
        <v>48442</v>
      </c>
      <c r="B1053" s="14" t="s">
        <v>1398</v>
      </c>
      <c r="C1053" s="13" t="str">
        <f>"18.2"</f>
        <v>18.2</v>
      </c>
      <c r="D1053" s="32">
        <f>(C1053*1.24778761061)+(0.4)</f>
        <v>23.109734513101998</v>
      </c>
      <c r="E1053" s="33">
        <f>(C1053*1.16814159292)+(-1)</f>
        <v>20.260176991144</v>
      </c>
      <c r="F1053" s="33">
        <f>(C1053*1.1238938053)+(-4.4)</f>
        <v>16.05486725646</v>
      </c>
      <c r="G1053" s="33">
        <f>(C1053*1.06194690265)+(-5.9)</f>
        <v>13.427433628229997</v>
      </c>
      <c r="H1053" s="34">
        <f>(C1053*1.19469026548)+(0)</f>
        <v>21.743362831736</v>
      </c>
      <c r="I1053" s="34">
        <f>(C1053*1.16814159292)+(-2)</f>
        <v>19.260176991144</v>
      </c>
      <c r="J1053" s="34">
        <f>(C1053*1.1238938053)+(-3.9)</f>
        <v>16.554867256460003</v>
      </c>
      <c r="K1053" s="34">
        <f>(C1053*1.07964601769)+(-5.6)</f>
        <v>14.049557521957999</v>
      </c>
    </row>
    <row r="1054" spans="1:11" s="21" customFormat="1" ht="19.95" customHeight="1" x14ac:dyDescent="0.25">
      <c r="A1054" s="13" t="str">
        <f>"1013002"</f>
        <v>1013002</v>
      </c>
      <c r="B1054" s="14" t="s">
        <v>1399</v>
      </c>
      <c r="C1054" s="13" t="str">
        <f>"24.1"</f>
        <v>24.1</v>
      </c>
      <c r="D1054" s="32">
        <f>(C1054*1.24778761061)+(0.4)</f>
        <v>30.471681415701003</v>
      </c>
      <c r="E1054" s="33">
        <f>(C1054*1.16814159292)+(-1)</f>
        <v>27.152212389372004</v>
      </c>
      <c r="F1054" s="33">
        <f>(C1054*1.1238938053)+(-4.4)</f>
        <v>22.685840707730001</v>
      </c>
      <c r="G1054" s="33">
        <f>(C1054*1.06194690265)+(-5.9)</f>
        <v>19.692920353864999</v>
      </c>
      <c r="H1054" s="34">
        <f>(C1054*1.19469026548)+(0)</f>
        <v>28.792035398068002</v>
      </c>
      <c r="I1054" s="34">
        <f>(C1054*1.16814159292)+(-2)</f>
        <v>26.152212389372004</v>
      </c>
      <c r="J1054" s="34">
        <f>(C1054*1.1238938053)+(-3.9)</f>
        <v>23.185840707730005</v>
      </c>
      <c r="K1054" s="34">
        <f>(C1054*1.07964601769)+(-5.6)</f>
        <v>20.419469026329004</v>
      </c>
    </row>
    <row r="1055" spans="1:11" s="21" customFormat="1" ht="19.95" customHeight="1" x14ac:dyDescent="0.25">
      <c r="A1055" s="13" t="str">
        <f>"9129"</f>
        <v>9129</v>
      </c>
      <c r="B1055" s="14" t="s">
        <v>1400</v>
      </c>
      <c r="C1055" s="13" t="str">
        <f>"6.1"</f>
        <v>6.1</v>
      </c>
      <c r="D1055" s="32">
        <f>(C1055*1.24778761061)+(0.4)</f>
        <v>8.0115044247210001</v>
      </c>
      <c r="E1055" s="33">
        <f>(C1055*1.16814159292)+(-1)</f>
        <v>6.1256637168120003</v>
      </c>
      <c r="F1055" s="33">
        <f>(C1055*1.1238938053)+(-4.4)</f>
        <v>2.4557522123299993</v>
      </c>
      <c r="G1055" s="33">
        <f>(C1055*1.06194690265)+(-5.9)</f>
        <v>0.5778761061649984</v>
      </c>
      <c r="H1055" s="34">
        <f>(C1055*1.19469026548)+(0)</f>
        <v>7.2876106194279995</v>
      </c>
      <c r="I1055" s="34">
        <f>(C1055*1.16814159292)+(-2)</f>
        <v>5.1256637168120003</v>
      </c>
      <c r="J1055" s="34">
        <f>(C1055*1.1238938053)+(-3.9)</f>
        <v>2.9557522123299997</v>
      </c>
      <c r="K1055" s="34">
        <f>(C1055*1.07964601769)+(-5.6)</f>
        <v>0.98584070790900036</v>
      </c>
    </row>
    <row r="1056" spans="1:11" s="21" customFormat="1" ht="19.95" customHeight="1" x14ac:dyDescent="0.25">
      <c r="A1056" s="13" t="str">
        <f>"16649"</f>
        <v>16649</v>
      </c>
      <c r="B1056" s="14" t="s">
        <v>1401</v>
      </c>
      <c r="C1056" s="13" t="str">
        <f>"29.3"</f>
        <v>29.3</v>
      </c>
      <c r="D1056" s="32">
        <f>(C1056*1.24778761061)+(0.4)</f>
        <v>36.960176990873002</v>
      </c>
      <c r="E1056" s="33">
        <f>(C1056*1.16814159292)+(-1)</f>
        <v>33.226548672556007</v>
      </c>
      <c r="F1056" s="33">
        <f>(C1056*1.1238938053)+(-4.4)</f>
        <v>28.530088495290002</v>
      </c>
      <c r="G1056" s="33">
        <f>(C1056*1.06194690265)+(-5.9)</f>
        <v>25.215044247644997</v>
      </c>
      <c r="H1056" s="34">
        <f>(C1056*1.19469026548)+(0)</f>
        <v>35.004424778564001</v>
      </c>
      <c r="I1056" s="34">
        <f>(C1056*1.16814159292)+(-2)</f>
        <v>32.226548672556007</v>
      </c>
      <c r="J1056" s="34">
        <f>(C1056*1.1238938053)+(-3.9)</f>
        <v>29.030088495290002</v>
      </c>
      <c r="K1056" s="34">
        <f>(C1056*1.07964601769)+(-5.6)</f>
        <v>26.033628318317</v>
      </c>
    </row>
    <row r="1057" spans="1:11" s="21" customFormat="1" ht="19.95" customHeight="1" x14ac:dyDescent="0.25">
      <c r="A1057" s="13" t="str">
        <f>"16652"</f>
        <v>16652</v>
      </c>
      <c r="B1057" s="14" t="s">
        <v>1402</v>
      </c>
      <c r="C1057" s="13" t="str">
        <f>"21.3"</f>
        <v>21.3</v>
      </c>
      <c r="D1057" s="32">
        <f>(C1057*1.24778761061)+(0.4)</f>
        <v>26.977876105993001</v>
      </c>
      <c r="E1057" s="33">
        <f>(C1057*1.16814159292)+(-1)</f>
        <v>23.881415929196002</v>
      </c>
      <c r="F1057" s="33">
        <f>(C1057*1.1238938053)+(-4.4)</f>
        <v>19.538938052890003</v>
      </c>
      <c r="G1057" s="33">
        <f>(C1057*1.06194690265)+(-5.9)</f>
        <v>16.719469026444997</v>
      </c>
      <c r="H1057" s="34">
        <f>(C1057*1.19469026548)+(0)</f>
        <v>25.446902654724003</v>
      </c>
      <c r="I1057" s="34">
        <f>(C1057*1.16814159292)+(-2)</f>
        <v>22.881415929196002</v>
      </c>
      <c r="J1057" s="34">
        <f>(C1057*1.1238938053)+(-3.9)</f>
        <v>20.038938052890003</v>
      </c>
      <c r="K1057" s="34">
        <f>(C1057*1.07964601769)+(-5.6)</f>
        <v>17.396460176797</v>
      </c>
    </row>
    <row r="1058" spans="1:11" s="21" customFormat="1" ht="19.95" customHeight="1" x14ac:dyDescent="0.25">
      <c r="A1058" s="13" t="str">
        <f>"79352"</f>
        <v>79352</v>
      </c>
      <c r="B1058" s="14" t="s">
        <v>1403</v>
      </c>
      <c r="C1058" s="13" t="str">
        <f>"16.2"</f>
        <v>16.2</v>
      </c>
      <c r="D1058" s="32">
        <f>(C1058*1.24778761061)+(0.4)</f>
        <v>20.614159291882</v>
      </c>
      <c r="E1058" s="33">
        <f>(C1058*1.16814159292)+(-1)</f>
        <v>17.923893805304001</v>
      </c>
      <c r="F1058" s="33">
        <f>(C1058*1.1238938053)+(-4.4)</f>
        <v>13.807079645859998</v>
      </c>
      <c r="G1058" s="33">
        <f>(C1058*1.06194690265)+(-5.9)</f>
        <v>11.303539822929997</v>
      </c>
      <c r="H1058" s="34">
        <f>(C1058*1.19469026548)+(0)</f>
        <v>19.353982300776</v>
      </c>
      <c r="I1058" s="34">
        <f>(C1058*1.16814159292)+(-2)</f>
        <v>16.923893805304001</v>
      </c>
      <c r="J1058" s="34">
        <f>(C1058*1.1238938053)+(-3.9)</f>
        <v>14.307079645859998</v>
      </c>
      <c r="K1058" s="34">
        <f>(C1058*1.07964601769)+(-5.6)</f>
        <v>11.890265486578</v>
      </c>
    </row>
    <row r="1059" spans="1:11" s="21" customFormat="1" ht="19.95" customHeight="1" x14ac:dyDescent="0.25">
      <c r="A1059" s="13" t="str">
        <f>"16654"</f>
        <v>16654</v>
      </c>
      <c r="B1059" s="14" t="s">
        <v>1404</v>
      </c>
      <c r="C1059" s="13" t="str">
        <f>"13.7"</f>
        <v>13.7</v>
      </c>
      <c r="D1059" s="32">
        <f>(C1059*1.24778761061)+(0.4)</f>
        <v>17.494690265357001</v>
      </c>
      <c r="E1059" s="33">
        <f>(C1059*1.16814159292)+(-1)</f>
        <v>15.003539823004001</v>
      </c>
      <c r="F1059" s="33">
        <f>(C1059*1.1238938053)+(-4.4)</f>
        <v>10.997345132609999</v>
      </c>
      <c r="G1059" s="33">
        <f>(C1059*1.06194690265)+(-5.9)</f>
        <v>8.648672566304997</v>
      </c>
      <c r="H1059" s="34">
        <f>(C1059*1.19469026548)+(0)</f>
        <v>16.367256637076</v>
      </c>
      <c r="I1059" s="34">
        <f>(C1059*1.16814159292)+(-2)</f>
        <v>14.003539823004001</v>
      </c>
      <c r="J1059" s="34">
        <f>(C1059*1.1238938053)+(-3.9)</f>
        <v>11.497345132609999</v>
      </c>
      <c r="K1059" s="34">
        <f>(C1059*1.07964601769)+(-5.6)</f>
        <v>9.1911504423529991</v>
      </c>
    </row>
    <row r="1060" spans="1:11" s="21" customFormat="1" ht="19.95" customHeight="1" x14ac:dyDescent="0.25">
      <c r="A1060" s="13" t="str">
        <f>"78154"</f>
        <v>78154</v>
      </c>
      <c r="B1060" s="14" t="s">
        <v>1405</v>
      </c>
      <c r="C1060" s="13" t="str">
        <f>"18.3"</f>
        <v>18.3</v>
      </c>
      <c r="D1060" s="32">
        <f>(C1060*1.24778761061)+(0.4)</f>
        <v>23.234513274163</v>
      </c>
      <c r="E1060" s="33">
        <f>(C1060*1.16814159292)+(-1)</f>
        <v>20.376991150436002</v>
      </c>
      <c r="F1060" s="33">
        <f>(C1060*1.1238938053)+(-4.4)</f>
        <v>16.167256636990004</v>
      </c>
      <c r="G1060" s="33">
        <f>(C1060*1.06194690265)+(-5.9)</f>
        <v>13.533628318494999</v>
      </c>
      <c r="H1060" s="34">
        <f>(C1060*1.19469026548)+(0)</f>
        <v>21.862831858284</v>
      </c>
      <c r="I1060" s="34">
        <f>(C1060*1.16814159292)+(-2)</f>
        <v>19.376991150436002</v>
      </c>
      <c r="J1060" s="34">
        <f>(C1060*1.1238938053)+(-3.9)</f>
        <v>16.667256636990004</v>
      </c>
      <c r="K1060" s="34">
        <f>(C1060*1.07964601769)+(-5.6)</f>
        <v>14.157522123727</v>
      </c>
    </row>
    <row r="1061" spans="1:11" s="21" customFormat="1" ht="19.95" customHeight="1" x14ac:dyDescent="0.25">
      <c r="A1061" s="13" t="str">
        <f>"76412"</f>
        <v>76412</v>
      </c>
      <c r="B1061" s="14" t="s">
        <v>1406</v>
      </c>
      <c r="C1061" s="13" t="str">
        <f>"9.2"</f>
        <v>9.2</v>
      </c>
      <c r="D1061" s="32">
        <f>(C1061*1.24778761061)+(0.4)</f>
        <v>11.879646017612</v>
      </c>
      <c r="E1061" s="33">
        <f>(C1061*1.16814159292)+(-1)</f>
        <v>9.7469026548639999</v>
      </c>
      <c r="F1061" s="33">
        <f>(C1061*1.1238938053)+(-4.4)</f>
        <v>5.9398230087599995</v>
      </c>
      <c r="G1061" s="33">
        <f>(C1061*1.06194690265)+(-5.9)</f>
        <v>3.8699115043799974</v>
      </c>
      <c r="H1061" s="34">
        <f>(C1061*1.19469026548)+(0)</f>
        <v>10.991150442416</v>
      </c>
      <c r="I1061" s="34">
        <f>(C1061*1.16814159292)+(-2)</f>
        <v>8.7469026548639999</v>
      </c>
      <c r="J1061" s="34">
        <f>(C1061*1.1238938053)+(-3.9)</f>
        <v>6.4398230087599995</v>
      </c>
      <c r="K1061" s="34">
        <f>(C1061*1.07964601769)+(-5.6)</f>
        <v>4.3327433627479994</v>
      </c>
    </row>
    <row r="1062" spans="1:11" s="21" customFormat="1" ht="19.95" customHeight="1" x14ac:dyDescent="0.25">
      <c r="A1062" s="13" t="str">
        <f>"1001028"</f>
        <v>1001028</v>
      </c>
      <c r="B1062" s="14" t="s">
        <v>1407</v>
      </c>
      <c r="C1062" s="13" t="str">
        <f>"14.3"</f>
        <v>14.3</v>
      </c>
      <c r="D1062" s="32">
        <f>(C1062*1.24778761061)+(0.4)</f>
        <v>18.243362831723001</v>
      </c>
      <c r="E1062" s="33">
        <f>(C1062*1.16814159292)+(-1)</f>
        <v>15.704424778756003</v>
      </c>
      <c r="F1062" s="33">
        <f>(C1062*1.1238938053)+(-4.4)</f>
        <v>11.671681415790003</v>
      </c>
      <c r="G1062" s="33">
        <f>(C1062*1.06194690265)+(-5.9)</f>
        <v>9.2858407078949998</v>
      </c>
      <c r="H1062" s="34">
        <f>(C1062*1.19469026548)+(0)</f>
        <v>17.084070796363999</v>
      </c>
      <c r="I1062" s="34">
        <f>(C1062*1.16814159292)+(-2)</f>
        <v>14.704424778756003</v>
      </c>
      <c r="J1062" s="34">
        <f>(C1062*1.1238938053)+(-3.9)</f>
        <v>12.171681415790003</v>
      </c>
      <c r="K1062" s="34">
        <f>(C1062*1.07964601769)+(-5.6)</f>
        <v>9.8389380529670021</v>
      </c>
    </row>
    <row r="1063" spans="1:11" s="21" customFormat="1" ht="19.95" customHeight="1" x14ac:dyDescent="0.25">
      <c r="A1063" s="13" t="str">
        <f>"43516"</f>
        <v>43516</v>
      </c>
      <c r="B1063" s="14" t="s">
        <v>1408</v>
      </c>
      <c r="C1063" s="13" t="str">
        <f>"20.7"</f>
        <v>20.7</v>
      </c>
      <c r="D1063" s="32">
        <f>(C1063*1.24778761061)+(0.4)</f>
        <v>26.229203539627001</v>
      </c>
      <c r="E1063" s="33">
        <f>(C1063*1.16814159292)+(-1)</f>
        <v>23.180530973444</v>
      </c>
      <c r="F1063" s="33">
        <f>(C1063*1.1238938053)+(-4.4)</f>
        <v>18.864601769709999</v>
      </c>
      <c r="G1063" s="33">
        <f>(C1063*1.06194690265)+(-5.9)</f>
        <v>16.082300884854995</v>
      </c>
      <c r="H1063" s="34">
        <f>(C1063*1.19469026548)+(0)</f>
        <v>24.730088495436</v>
      </c>
      <c r="I1063" s="34">
        <f>(C1063*1.16814159292)+(-2)</f>
        <v>22.180530973444</v>
      </c>
      <c r="J1063" s="34">
        <f>(C1063*1.1238938053)+(-3.9)</f>
        <v>19.364601769710003</v>
      </c>
      <c r="K1063" s="34">
        <f>(C1063*1.07964601769)+(-5.6)</f>
        <v>16.748672566182996</v>
      </c>
    </row>
    <row r="1064" spans="1:11" s="21" customFormat="1" ht="19.95" customHeight="1" x14ac:dyDescent="0.25">
      <c r="A1064" s="13" t="str">
        <f>"74405"</f>
        <v>74405</v>
      </c>
      <c r="B1064" s="14" t="s">
        <v>1409</v>
      </c>
      <c r="C1064" s="13" t="str">
        <f>"9.8"</f>
        <v>9.8</v>
      </c>
      <c r="D1064" s="32">
        <f>(C1064*1.24778761061)+(0.4)</f>
        <v>12.628318583978002</v>
      </c>
      <c r="E1064" s="33">
        <f>(C1064*1.16814159292)+(-1)</f>
        <v>10.447787610616002</v>
      </c>
      <c r="F1064" s="33">
        <f>(C1064*1.1238938053)+(-4.4)</f>
        <v>6.6141592919400001</v>
      </c>
      <c r="G1064" s="33">
        <f>(C1064*1.06194690265)+(-5.9)</f>
        <v>4.5070796459700002</v>
      </c>
      <c r="H1064" s="34">
        <f>(C1064*1.19469026548)+(0)</f>
        <v>11.707964601704001</v>
      </c>
      <c r="I1064" s="34">
        <f>(C1064*1.16814159292)+(-2)</f>
        <v>9.4477876106160021</v>
      </c>
      <c r="J1064" s="34">
        <f>(C1064*1.1238938053)+(-3.9)</f>
        <v>7.1141592919400001</v>
      </c>
      <c r="K1064" s="34">
        <f>(C1064*1.07964601769)+(-5.6)</f>
        <v>4.9805309733620007</v>
      </c>
    </row>
    <row r="1065" spans="1:11" s="21" customFormat="1" ht="19.95" customHeight="1" x14ac:dyDescent="0.25">
      <c r="A1065" s="13" t="str">
        <f>"16657"</f>
        <v>16657</v>
      </c>
      <c r="B1065" s="14" t="s">
        <v>1410</v>
      </c>
      <c r="C1065" s="13" t="str">
        <f>"23.6"</f>
        <v>23.6</v>
      </c>
      <c r="D1065" s="32">
        <f>(C1065*1.24778761061)+(0.4)</f>
        <v>29.847787610396004</v>
      </c>
      <c r="E1065" s="33">
        <f>(C1065*1.16814159292)+(-1)</f>
        <v>26.568141592912003</v>
      </c>
      <c r="F1065" s="33">
        <f>(C1065*1.1238938053)+(-4.4)</f>
        <v>22.123893805080002</v>
      </c>
      <c r="G1065" s="33">
        <f>(C1065*1.06194690265)+(-5.9)</f>
        <v>19.161946902540002</v>
      </c>
      <c r="H1065" s="34">
        <f>(C1065*1.19469026548)+(0)</f>
        <v>28.194690265328003</v>
      </c>
      <c r="I1065" s="34">
        <f>(C1065*1.16814159292)+(-2)</f>
        <v>25.568141592912003</v>
      </c>
      <c r="J1065" s="34">
        <f>(C1065*1.1238938053)+(-3.9)</f>
        <v>22.623893805080005</v>
      </c>
      <c r="K1065" s="34">
        <f>(C1065*1.07964601769)+(-5.6)</f>
        <v>19.879646017483999</v>
      </c>
    </row>
    <row r="1066" spans="1:11" s="21" customFormat="1" ht="19.95" customHeight="1" x14ac:dyDescent="0.25">
      <c r="A1066" s="13" t="str">
        <f>"16658"</f>
        <v>16658</v>
      </c>
      <c r="B1066" s="14" t="s">
        <v>1411</v>
      </c>
      <c r="C1066" s="13" t="str">
        <f>"24.0"</f>
        <v>24.0</v>
      </c>
      <c r="D1066" s="32">
        <f>(C1066*1.24778761061)+(0.4)</f>
        <v>30.346902654640001</v>
      </c>
      <c r="E1066" s="33">
        <f>(C1066*1.16814159292)+(-1)</f>
        <v>27.035398230080002</v>
      </c>
      <c r="F1066" s="33">
        <f>(C1066*1.1238938053)+(-4.4)</f>
        <v>22.573451327200004</v>
      </c>
      <c r="G1066" s="33">
        <f>(C1066*1.06194690265)+(-5.9)</f>
        <v>19.586725663599999</v>
      </c>
      <c r="H1066" s="34">
        <f>(C1066*1.19469026548)+(0)</f>
        <v>28.672566371519999</v>
      </c>
      <c r="I1066" s="34">
        <f>(C1066*1.16814159292)+(-2)</f>
        <v>26.035398230080002</v>
      </c>
      <c r="J1066" s="34">
        <f>(C1066*1.1238938053)+(-3.9)</f>
        <v>23.073451327200004</v>
      </c>
      <c r="K1066" s="34">
        <f>(C1066*1.07964601769)+(-5.6)</f>
        <v>20.311504424559999</v>
      </c>
    </row>
    <row r="1067" spans="1:11" s="21" customFormat="1" ht="19.95" customHeight="1" x14ac:dyDescent="0.25">
      <c r="A1067" s="13" t="str">
        <f>"73230"</f>
        <v>73230</v>
      </c>
      <c r="B1067" s="14" t="s">
        <v>1412</v>
      </c>
      <c r="C1067" s="13" t="str">
        <f>"17.1"</f>
        <v>17.1</v>
      </c>
      <c r="D1067" s="32">
        <f>(C1067*1.24778761061)+(0.4)</f>
        <v>21.737168141431003</v>
      </c>
      <c r="E1067" s="33">
        <f>(C1067*1.16814159292)+(-1)</f>
        <v>18.975221238932004</v>
      </c>
      <c r="F1067" s="33">
        <f>(C1067*1.1238938053)+(-4.4)</f>
        <v>14.818584070630001</v>
      </c>
      <c r="G1067" s="33">
        <f>(C1067*1.06194690265)+(-5.9)</f>
        <v>12.259292035315001</v>
      </c>
      <c r="H1067" s="34">
        <f>(C1067*1.19469026548)+(0)</f>
        <v>20.429203539708002</v>
      </c>
      <c r="I1067" s="34">
        <f>(C1067*1.16814159292)+(-2)</f>
        <v>17.975221238932004</v>
      </c>
      <c r="J1067" s="34">
        <f>(C1067*1.1238938053)+(-3.9)</f>
        <v>15.318584070630001</v>
      </c>
      <c r="K1067" s="34">
        <f>(C1067*1.07964601769)+(-5.6)</f>
        <v>12.861946902499001</v>
      </c>
    </row>
    <row r="1068" spans="1:11" s="21" customFormat="1" ht="19.95" customHeight="1" x14ac:dyDescent="0.25">
      <c r="A1068" s="13" t="str">
        <f>"44588"</f>
        <v>44588</v>
      </c>
      <c r="B1068" s="14" t="s">
        <v>1413</v>
      </c>
      <c r="C1068" s="13" t="str">
        <f>"9.8"</f>
        <v>9.8</v>
      </c>
      <c r="D1068" s="32">
        <f>(C1068*1.24778761061)+(0.4)</f>
        <v>12.628318583978002</v>
      </c>
      <c r="E1068" s="33">
        <f>(C1068*1.16814159292)+(-1)</f>
        <v>10.447787610616002</v>
      </c>
      <c r="F1068" s="33">
        <f>(C1068*1.1238938053)+(-4.4)</f>
        <v>6.6141592919400001</v>
      </c>
      <c r="G1068" s="33">
        <f>(C1068*1.06194690265)+(-5.9)</f>
        <v>4.5070796459700002</v>
      </c>
      <c r="H1068" s="34">
        <f>(C1068*1.19469026548)+(0)</f>
        <v>11.707964601704001</v>
      </c>
      <c r="I1068" s="34">
        <f>(C1068*1.16814159292)+(-2)</f>
        <v>9.4477876106160021</v>
      </c>
      <c r="J1068" s="34">
        <f>(C1068*1.1238938053)+(-3.9)</f>
        <v>7.1141592919400001</v>
      </c>
      <c r="K1068" s="34">
        <f>(C1068*1.07964601769)+(-5.6)</f>
        <v>4.9805309733620007</v>
      </c>
    </row>
    <row r="1069" spans="1:11" s="21" customFormat="1" ht="19.95" customHeight="1" x14ac:dyDescent="0.25">
      <c r="A1069" s="13" t="str">
        <f>"16659"</f>
        <v>16659</v>
      </c>
      <c r="B1069" s="14" t="s">
        <v>1414</v>
      </c>
      <c r="C1069" s="13" t="str">
        <f>"22.4"</f>
        <v>22.4</v>
      </c>
      <c r="D1069" s="32">
        <f>(C1069*1.24778761061)+(0.4)</f>
        <v>28.350442477664</v>
      </c>
      <c r="E1069" s="33">
        <f>(C1069*1.16814159292)+(-1)</f>
        <v>25.166371681408002</v>
      </c>
      <c r="F1069" s="33">
        <f>(C1069*1.1238938053)+(-4.4)</f>
        <v>20.77522123872</v>
      </c>
      <c r="G1069" s="33">
        <f>(C1069*1.06194690265)+(-5.9)</f>
        <v>17.887610619359997</v>
      </c>
      <c r="H1069" s="34">
        <f>(C1069*1.19469026548)+(0)</f>
        <v>26.761061946751997</v>
      </c>
      <c r="I1069" s="34">
        <f>(C1069*1.16814159292)+(-2)</f>
        <v>24.166371681408002</v>
      </c>
      <c r="J1069" s="34">
        <f>(C1069*1.1238938053)+(-3.9)</f>
        <v>21.27522123872</v>
      </c>
      <c r="K1069" s="34">
        <f>(C1069*1.07964601769)+(-5.6)</f>
        <v>18.584070796256</v>
      </c>
    </row>
    <row r="1070" spans="1:11" s="21" customFormat="1" ht="19.95" customHeight="1" x14ac:dyDescent="0.25">
      <c r="A1070" s="13" t="str">
        <f>"16664"</f>
        <v>16664</v>
      </c>
      <c r="B1070" s="14" t="s">
        <v>1415</v>
      </c>
      <c r="C1070" s="13" t="str">
        <f>"33.2"</f>
        <v>33.2</v>
      </c>
      <c r="D1070" s="32">
        <f>(C1070*1.24778761061)+(0.4)</f>
        <v>41.826548672252002</v>
      </c>
      <c r="E1070" s="33">
        <f>(C1070*1.16814159292)+(-1)</f>
        <v>37.782300884944007</v>
      </c>
      <c r="F1070" s="33">
        <f>(C1070*1.1238938053)+(-4.4)</f>
        <v>32.913274335960004</v>
      </c>
      <c r="G1070" s="33">
        <f>(C1070*1.06194690265)+(-5.9)</f>
        <v>29.356637167980004</v>
      </c>
      <c r="H1070" s="34">
        <f>(C1070*1.19469026548)+(0)</f>
        <v>39.663716813936006</v>
      </c>
      <c r="I1070" s="34">
        <f>(C1070*1.16814159292)+(-2)</f>
        <v>36.782300884944007</v>
      </c>
      <c r="J1070" s="34">
        <f>(C1070*1.1238938053)+(-3.9)</f>
        <v>33.413274335960004</v>
      </c>
      <c r="K1070" s="34">
        <f>(C1070*1.07964601769)+(-5.6)</f>
        <v>30.244247787308005</v>
      </c>
    </row>
    <row r="1071" spans="1:11" s="21" customFormat="1" ht="19.95" customHeight="1" x14ac:dyDescent="0.25">
      <c r="A1071" s="13" t="str">
        <f>"1003285"</f>
        <v>1003285</v>
      </c>
      <c r="B1071" s="14" t="s">
        <v>1416</v>
      </c>
      <c r="C1071" s="13" t="str">
        <f>"27.7"</f>
        <v>27.7</v>
      </c>
      <c r="D1071" s="32">
        <f>(C1071*1.24778761061)+(0.4)</f>
        <v>34.963716813897001</v>
      </c>
      <c r="E1071" s="33">
        <f>(C1071*1.16814159292)+(-1)</f>
        <v>31.357522123884003</v>
      </c>
      <c r="F1071" s="33">
        <f>(C1071*1.1238938053)+(-4.4)</f>
        <v>26.731858406809998</v>
      </c>
      <c r="G1071" s="33">
        <f>(C1071*1.06194690265)+(-5.9)</f>
        <v>23.515929203404994</v>
      </c>
      <c r="H1071" s="34">
        <f>(C1071*1.19469026548)+(0)</f>
        <v>33.092920353795996</v>
      </c>
      <c r="I1071" s="34">
        <f>(C1071*1.16814159292)+(-2)</f>
        <v>30.357522123884003</v>
      </c>
      <c r="J1071" s="34">
        <f>(C1071*1.1238938053)+(-3.9)</f>
        <v>27.231858406810002</v>
      </c>
      <c r="K1071" s="34">
        <f>(C1071*1.07964601769)+(-5.6)</f>
        <v>24.306194690013001</v>
      </c>
    </row>
    <row r="1072" spans="1:11" s="21" customFormat="1" ht="19.95" customHeight="1" x14ac:dyDescent="0.25">
      <c r="A1072" s="13" t="str">
        <f>"46557"</f>
        <v>46557</v>
      </c>
      <c r="B1072" s="14" t="s">
        <v>1417</v>
      </c>
      <c r="C1072" s="13" t="str">
        <f>"15.7"</f>
        <v>15.7</v>
      </c>
      <c r="D1072" s="32">
        <f>(C1072*1.24778761061)+(0.4)</f>
        <v>19.990265486576998</v>
      </c>
      <c r="E1072" s="33">
        <f>(C1072*1.16814159292)+(-1)</f>
        <v>17.339823008844</v>
      </c>
      <c r="F1072" s="33">
        <f>(C1072*1.1238938053)+(-4.4)</f>
        <v>13.245132743209998</v>
      </c>
      <c r="G1072" s="33">
        <f>(C1072*1.06194690265)+(-5.9)</f>
        <v>10.772566371604997</v>
      </c>
      <c r="H1072" s="34">
        <f>(C1072*1.19469026548)+(0)</f>
        <v>18.756637168036001</v>
      </c>
      <c r="I1072" s="34">
        <f>(C1072*1.16814159292)+(-2)</f>
        <v>16.339823008844</v>
      </c>
      <c r="J1072" s="34">
        <f>(C1072*1.1238938053)+(-3.9)</f>
        <v>13.745132743209998</v>
      </c>
      <c r="K1072" s="34">
        <f>(C1072*1.07964601769)+(-5.6)</f>
        <v>11.350442477732999</v>
      </c>
    </row>
    <row r="1073" spans="1:11" s="21" customFormat="1" ht="19.95" customHeight="1" x14ac:dyDescent="0.25">
      <c r="A1073" s="13" t="str">
        <f>"1012172"</f>
        <v>1012172</v>
      </c>
      <c r="B1073" s="14" t="s">
        <v>1418</v>
      </c>
      <c r="C1073" s="13" t="str">
        <f>"27.6"</f>
        <v>27.6</v>
      </c>
      <c r="D1073" s="32">
        <f>(C1073*1.24778761061)+(0.4)</f>
        <v>34.838938052836006</v>
      </c>
      <c r="E1073" s="33">
        <f>(C1073*1.16814159292)+(-1)</f>
        <v>31.240707964592005</v>
      </c>
      <c r="F1073" s="33">
        <f>(C1073*1.1238938053)+(-4.4)</f>
        <v>26.619469026280001</v>
      </c>
      <c r="G1073" s="33">
        <f>(C1073*1.06194690265)+(-5.9)</f>
        <v>23.409734513140002</v>
      </c>
      <c r="H1073" s="34">
        <f>(C1073*1.19469026548)+(0)</f>
        <v>32.973451327248</v>
      </c>
      <c r="I1073" s="34">
        <f>(C1073*1.16814159292)+(-2)</f>
        <v>30.240707964592005</v>
      </c>
      <c r="J1073" s="34">
        <f>(C1073*1.1238938053)+(-3.9)</f>
        <v>27.119469026280004</v>
      </c>
      <c r="K1073" s="34">
        <f>(C1073*1.07964601769)+(-5.6)</f>
        <v>24.198230088244003</v>
      </c>
    </row>
    <row r="1074" spans="1:11" s="21" customFormat="1" ht="19.95" customHeight="1" x14ac:dyDescent="0.25">
      <c r="A1074" s="13" t="str">
        <f>"1007622"</f>
        <v>1007622</v>
      </c>
      <c r="B1074" s="14" t="s">
        <v>1419</v>
      </c>
      <c r="C1074" s="13" t="str">
        <f>"31.4"</f>
        <v>31.4</v>
      </c>
      <c r="D1074" s="32">
        <f>(C1074*1.24778761061)+(0.4)</f>
        <v>39.580530973153998</v>
      </c>
      <c r="E1074" s="33">
        <f>(C1074*1.16814159292)+(-1)</f>
        <v>35.679646017688</v>
      </c>
      <c r="F1074" s="33">
        <f>(C1074*1.1238938053)+(-4.4)</f>
        <v>30.890265486419999</v>
      </c>
      <c r="G1074" s="33">
        <f>(C1074*1.06194690265)+(-5.9)</f>
        <v>27.445132743209996</v>
      </c>
      <c r="H1074" s="34">
        <f>(C1074*1.19469026548)+(0)</f>
        <v>37.513274336072001</v>
      </c>
      <c r="I1074" s="34">
        <f>(C1074*1.16814159292)+(-2)</f>
        <v>34.679646017688</v>
      </c>
      <c r="J1074" s="34">
        <f>(C1074*1.1238938053)+(-3.9)</f>
        <v>31.390265486419999</v>
      </c>
      <c r="K1074" s="34">
        <f>(C1074*1.07964601769)+(-5.6)</f>
        <v>28.300884955465996</v>
      </c>
    </row>
    <row r="1075" spans="1:11" s="21" customFormat="1" ht="19.95" customHeight="1" x14ac:dyDescent="0.25">
      <c r="A1075" s="13" t="str">
        <f>"1007140"</f>
        <v>1007140</v>
      </c>
      <c r="B1075" s="14" t="s">
        <v>1420</v>
      </c>
      <c r="C1075" s="13" t="str">
        <f>"24.8"</f>
        <v>24.8</v>
      </c>
      <c r="D1075" s="32">
        <f>(C1075*1.24778761061)+(0.4)</f>
        <v>31.345132743128001</v>
      </c>
      <c r="E1075" s="33">
        <f>(C1075*1.16814159292)+(-1)</f>
        <v>27.969911504416004</v>
      </c>
      <c r="F1075" s="33">
        <f>(C1075*1.1238938053)+(-4.4)</f>
        <v>23.472566371440003</v>
      </c>
      <c r="G1075" s="33">
        <f>(C1075*1.06194690265)+(-5.9)</f>
        <v>20.436283185720001</v>
      </c>
      <c r="H1075" s="34">
        <f>(C1075*1.19469026548)+(0)</f>
        <v>29.628318583904001</v>
      </c>
      <c r="I1075" s="34">
        <f>(C1075*1.16814159292)+(-2)</f>
        <v>26.969911504416004</v>
      </c>
      <c r="J1075" s="34">
        <f>(C1075*1.1238938053)+(-3.9)</f>
        <v>23.972566371440003</v>
      </c>
      <c r="K1075" s="34">
        <f>(C1075*1.07964601769)+(-5.6)</f>
        <v>21.175221238711998</v>
      </c>
    </row>
    <row r="1076" spans="1:11" s="21" customFormat="1" ht="19.95" customHeight="1" x14ac:dyDescent="0.25">
      <c r="A1076" s="13" t="str">
        <f>"1011868"</f>
        <v>1011868</v>
      </c>
      <c r="B1076" s="14" t="s">
        <v>1421</v>
      </c>
      <c r="C1076" s="13" t="str">
        <f>"28.7"</f>
        <v>28.7</v>
      </c>
      <c r="D1076" s="32">
        <f>(C1076*1.24778761061)+(0.4)</f>
        <v>36.211504424506998</v>
      </c>
      <c r="E1076" s="33">
        <f>(C1076*1.16814159292)+(-1)</f>
        <v>32.525663716804004</v>
      </c>
      <c r="F1076" s="33">
        <f>(C1076*1.1238938053)+(-4.4)</f>
        <v>27.855752212110005</v>
      </c>
      <c r="G1076" s="33">
        <f>(C1076*1.06194690265)+(-5.9)</f>
        <v>24.577876106054994</v>
      </c>
      <c r="H1076" s="34">
        <f>(C1076*1.19469026548)+(0)</f>
        <v>34.287610619276002</v>
      </c>
      <c r="I1076" s="34">
        <f>(C1076*1.16814159292)+(-2)</f>
        <v>31.525663716804004</v>
      </c>
      <c r="J1076" s="34">
        <f>(C1076*1.1238938053)+(-3.9)</f>
        <v>28.355752212110005</v>
      </c>
      <c r="K1076" s="34">
        <f>(C1076*1.07964601769)+(-5.6)</f>
        <v>25.385840707702997</v>
      </c>
    </row>
    <row r="1077" spans="1:11" s="21" customFormat="1" ht="19.95" customHeight="1" x14ac:dyDescent="0.25">
      <c r="A1077" s="13" t="str">
        <f>"45523"</f>
        <v>45523</v>
      </c>
      <c r="B1077" s="14" t="s">
        <v>1422</v>
      </c>
      <c r="C1077" s="13" t="str">
        <f>"15.1"</f>
        <v>15.1</v>
      </c>
      <c r="D1077" s="32">
        <f>(C1077*1.24778761061)+(0.4)</f>
        <v>19.241592920210998</v>
      </c>
      <c r="E1077" s="33">
        <f>(C1077*1.16814159292)+(-1)</f>
        <v>16.638938053092001</v>
      </c>
      <c r="F1077" s="33">
        <f>(C1077*1.1238938053)+(-4.4)</f>
        <v>12.570796460030001</v>
      </c>
      <c r="G1077" s="33">
        <f>(C1077*1.06194690265)+(-5.9)</f>
        <v>10.135398230014998</v>
      </c>
      <c r="H1077" s="34">
        <f>(C1077*1.19469026548)+(0)</f>
        <v>18.039823008747998</v>
      </c>
      <c r="I1077" s="34">
        <f>(C1077*1.16814159292)+(-2)</f>
        <v>15.638938053092001</v>
      </c>
      <c r="J1077" s="34">
        <f>(C1077*1.1238938053)+(-3.9)</f>
        <v>13.070796460030001</v>
      </c>
      <c r="K1077" s="34">
        <f>(C1077*1.07964601769)+(-5.6)</f>
        <v>10.702654867119</v>
      </c>
    </row>
    <row r="1078" spans="1:11" s="21" customFormat="1" ht="19.95" customHeight="1" x14ac:dyDescent="0.25">
      <c r="A1078" s="13" t="str">
        <f>"1001140"</f>
        <v>1001140</v>
      </c>
      <c r="B1078" s="14" t="s">
        <v>1423</v>
      </c>
      <c r="C1078" s="13" t="str">
        <f>"14.4"</f>
        <v>14.4</v>
      </c>
      <c r="D1078" s="32">
        <f>(C1078*1.24778761061)+(0.4)</f>
        <v>18.368141592783999</v>
      </c>
      <c r="E1078" s="33">
        <f>(C1078*1.16814159292)+(-1)</f>
        <v>15.821238938048001</v>
      </c>
      <c r="F1078" s="33">
        <f>(C1078*1.1238938053)+(-4.4)</f>
        <v>11.78407079632</v>
      </c>
      <c r="G1078" s="33">
        <f>(C1078*1.06194690265)+(-5.9)</f>
        <v>9.3920353981599991</v>
      </c>
      <c r="H1078" s="34">
        <f>(C1078*1.19469026548)+(0)</f>
        <v>17.203539822911999</v>
      </c>
      <c r="I1078" s="34">
        <f>(C1078*1.16814159292)+(-2)</f>
        <v>14.821238938048001</v>
      </c>
      <c r="J1078" s="34">
        <f>(C1078*1.1238938053)+(-3.9)</f>
        <v>12.28407079632</v>
      </c>
      <c r="K1078" s="34">
        <f>(C1078*1.07964601769)+(-5.6)</f>
        <v>9.9469026547360002</v>
      </c>
    </row>
    <row r="1079" spans="1:11" s="21" customFormat="1" ht="19.95" customHeight="1" x14ac:dyDescent="0.25">
      <c r="A1079" s="13" t="str">
        <f>"66694"</f>
        <v>66694</v>
      </c>
      <c r="B1079" s="14" t="s">
        <v>1424</v>
      </c>
      <c r="C1079" s="13" t="str">
        <f>"21.5"</f>
        <v>21.5</v>
      </c>
      <c r="D1079" s="32">
        <f>(C1079*1.24778761061)+(0.4)</f>
        <v>27.227433628115001</v>
      </c>
      <c r="E1079" s="33">
        <f>(C1079*1.16814159292)+(-1)</f>
        <v>24.115044247780002</v>
      </c>
      <c r="F1079" s="33">
        <f>(C1079*1.1238938053)+(-4.4)</f>
        <v>19.763716813949998</v>
      </c>
      <c r="G1079" s="33">
        <f>(C1079*1.06194690265)+(-5.9)</f>
        <v>16.931858406974996</v>
      </c>
      <c r="H1079" s="34">
        <f>(C1079*1.19469026548)+(0)</f>
        <v>25.685840707819999</v>
      </c>
      <c r="I1079" s="34">
        <f>(C1079*1.16814159292)+(-2)</f>
        <v>23.115044247780002</v>
      </c>
      <c r="J1079" s="34">
        <f>(C1079*1.1238938053)+(-3.9)</f>
        <v>20.263716813950001</v>
      </c>
      <c r="K1079" s="34">
        <f>(C1079*1.07964601769)+(-5.6)</f>
        <v>17.612389380335003</v>
      </c>
    </row>
    <row r="1080" spans="1:11" s="21" customFormat="1" ht="19.95" customHeight="1" x14ac:dyDescent="0.25">
      <c r="A1080" s="13" t="str">
        <f>"16673"</f>
        <v>16673</v>
      </c>
      <c r="B1080" s="14" t="s">
        <v>1425</v>
      </c>
      <c r="C1080" s="13" t="str">
        <f>"24.6"</f>
        <v>24.6</v>
      </c>
      <c r="D1080" s="32">
        <f>(C1080*1.24778761061)+(0.4)</f>
        <v>31.095575221006001</v>
      </c>
      <c r="E1080" s="33">
        <f>(C1080*1.16814159292)+(-1)</f>
        <v>27.736283185832004</v>
      </c>
      <c r="F1080" s="33">
        <f>(C1080*1.1238938053)+(-4.4)</f>
        <v>23.247787610380001</v>
      </c>
      <c r="G1080" s="33">
        <f>(C1080*1.06194690265)+(-5.9)</f>
        <v>20.223893805190002</v>
      </c>
      <c r="H1080" s="34">
        <f>(C1080*1.19469026548)+(0)</f>
        <v>29.389380530808001</v>
      </c>
      <c r="I1080" s="34">
        <f>(C1080*1.16814159292)+(-2)</f>
        <v>26.736283185832004</v>
      </c>
      <c r="J1080" s="34">
        <f>(C1080*1.1238938053)+(-3.9)</f>
        <v>23.747787610380005</v>
      </c>
      <c r="K1080" s="34">
        <f>(C1080*1.07964601769)+(-5.6)</f>
        <v>20.959292035174002</v>
      </c>
    </row>
    <row r="1081" spans="1:11" s="21" customFormat="1" ht="19.95" customHeight="1" x14ac:dyDescent="0.25">
      <c r="A1081" s="13" t="str">
        <f>"16678"</f>
        <v>16678</v>
      </c>
      <c r="B1081" s="14" t="s">
        <v>1431</v>
      </c>
      <c r="C1081" s="13" t="str">
        <f>"35.5"</f>
        <v>35.5</v>
      </c>
      <c r="D1081" s="32">
        <f>(C1081*1.24778761061)+(0.4)</f>
        <v>44.696460176655002</v>
      </c>
      <c r="E1081" s="33">
        <f>(C1081*1.16814159292)+(-1)</f>
        <v>40.469026548660004</v>
      </c>
      <c r="F1081" s="33">
        <f>(C1081*1.1238938053)+(-4.4)</f>
        <v>35.498230088150002</v>
      </c>
      <c r="G1081" s="33">
        <f>(C1081*1.06194690265)+(-5.9)</f>
        <v>31.799115044075002</v>
      </c>
      <c r="H1081" s="34">
        <f>(C1081*1.19469026548)+(0)</f>
        <v>42.411504424539999</v>
      </c>
      <c r="I1081" s="34">
        <f>(C1081*1.16814159292)+(-2)</f>
        <v>39.469026548660004</v>
      </c>
      <c r="J1081" s="34">
        <f>(C1081*1.1238938053)+(-3.9)</f>
        <v>35.998230088150002</v>
      </c>
      <c r="K1081" s="34">
        <f>(C1081*1.07964601769)+(-5.6)</f>
        <v>32.727433627994998</v>
      </c>
    </row>
    <row r="1082" spans="1:11" s="21" customFormat="1" ht="19.95" customHeight="1" x14ac:dyDescent="0.25">
      <c r="A1082" s="13" t="str">
        <f>"80859"</f>
        <v>80859</v>
      </c>
      <c r="B1082" s="14" t="s">
        <v>1429</v>
      </c>
      <c r="C1082" s="13" t="str">
        <f>"14.7"</f>
        <v>14.7</v>
      </c>
      <c r="D1082" s="32">
        <f>(C1082*1.24778761061)+(0.4)</f>
        <v>18.742477875966998</v>
      </c>
      <c r="E1082" s="33">
        <f>(C1082*1.16814159292)+(-1)</f>
        <v>16.171681415923999</v>
      </c>
      <c r="F1082" s="33">
        <f>(C1082*1.1238938053)+(-4.4)</f>
        <v>12.121238937909999</v>
      </c>
      <c r="G1082" s="33">
        <f>(C1082*1.06194690265)+(-5.9)</f>
        <v>9.7106194689549969</v>
      </c>
      <c r="H1082" s="34">
        <f>(C1082*1.19469026548)+(0)</f>
        <v>17.561946902555999</v>
      </c>
      <c r="I1082" s="34">
        <f>(C1082*1.16814159292)+(-2)</f>
        <v>15.171681415923999</v>
      </c>
      <c r="J1082" s="34">
        <f>(C1082*1.1238938053)+(-3.9)</f>
        <v>12.621238937909999</v>
      </c>
      <c r="K1082" s="34">
        <f>(C1082*1.07964601769)+(-5.6)</f>
        <v>10.270796460043</v>
      </c>
    </row>
    <row r="1083" spans="1:11" s="21" customFormat="1" ht="19.95" customHeight="1" x14ac:dyDescent="0.25">
      <c r="A1083" s="13" t="str">
        <f>"22767"</f>
        <v>22767</v>
      </c>
      <c r="B1083" s="14" t="s">
        <v>1430</v>
      </c>
      <c r="C1083" s="13" t="str">
        <f>"21.1"</f>
        <v>21.1</v>
      </c>
      <c r="D1083" s="32">
        <f>(C1083*1.24778761061)+(0.4)</f>
        <v>26.728318583871001</v>
      </c>
      <c r="E1083" s="33">
        <f>(C1083*1.16814159292)+(-1)</f>
        <v>23.647787610612003</v>
      </c>
      <c r="F1083" s="33">
        <f>(C1083*1.1238938053)+(-4.4)</f>
        <v>19.314159291830002</v>
      </c>
      <c r="G1083" s="33">
        <f>(C1083*1.06194690265)+(-5.9)</f>
        <v>16.507079645914999</v>
      </c>
      <c r="H1083" s="34">
        <f>(C1083*1.19469026548)+(0)</f>
        <v>25.207964601628003</v>
      </c>
      <c r="I1083" s="34">
        <f>(C1083*1.16814159292)+(-2)</f>
        <v>22.647787610612003</v>
      </c>
      <c r="J1083" s="34">
        <f>(C1083*1.1238938053)+(-3.9)</f>
        <v>19.814159291830006</v>
      </c>
      <c r="K1083" s="34">
        <f>(C1083*1.07964601769)+(-5.6)</f>
        <v>17.180530973259003</v>
      </c>
    </row>
    <row r="1084" spans="1:11" s="21" customFormat="1" ht="19.95" customHeight="1" x14ac:dyDescent="0.25">
      <c r="A1084" s="13" t="str">
        <f>"1013971"</f>
        <v>1013971</v>
      </c>
      <c r="B1084" s="14" t="s">
        <v>1426</v>
      </c>
      <c r="C1084" s="13" t="str">
        <f>"3.2"</f>
        <v>3.2</v>
      </c>
      <c r="D1084" s="32">
        <f>(C1084*1.24778761061)+(0.4)</f>
        <v>4.3929203539520003</v>
      </c>
      <c r="E1084" s="33">
        <f>(C1084*1.16814159292)+(-1)</f>
        <v>2.7380530973440003</v>
      </c>
      <c r="F1084" s="33">
        <f>(C1084*1.1238938053)+(-4.4)</f>
        <v>-0.80353982303999993</v>
      </c>
      <c r="G1084" s="33">
        <f>(C1084*1.06194690265)+(-5.9)</f>
        <v>-2.5017699115200003</v>
      </c>
      <c r="H1084" s="34">
        <f>(C1084*1.19469026548)+(0)</f>
        <v>3.8230088495360004</v>
      </c>
      <c r="I1084" s="34">
        <f>(C1084*1.16814159292)+(-2)</f>
        <v>1.7380530973440003</v>
      </c>
      <c r="J1084" s="34">
        <f>(C1084*1.1238938053)+(-3.9)</f>
        <v>-0.30353982303999949</v>
      </c>
      <c r="K1084" s="34">
        <f>(C1084*1.07964601769)+(-5.6)</f>
        <v>-2.1451327433919993</v>
      </c>
    </row>
    <row r="1085" spans="1:11" s="21" customFormat="1" ht="19.95" customHeight="1" x14ac:dyDescent="0.25">
      <c r="A1085" s="13" t="str">
        <f>"42145"</f>
        <v>42145</v>
      </c>
      <c r="B1085" s="14" t="s">
        <v>1427</v>
      </c>
      <c r="C1085" s="13" t="str">
        <f>"10.6"</f>
        <v>10.6</v>
      </c>
      <c r="D1085" s="32">
        <f>(C1085*1.24778761061)+(0.4)</f>
        <v>13.626548672466001</v>
      </c>
      <c r="E1085" s="33">
        <f>(C1085*1.16814159292)+(-1)</f>
        <v>11.382300884952</v>
      </c>
      <c r="F1085" s="33">
        <f>(C1085*1.1238938053)+(-4.4)</f>
        <v>7.5132743361800003</v>
      </c>
      <c r="G1085" s="33">
        <f>(C1085*1.06194690265)+(-5.9)</f>
        <v>5.356637168089998</v>
      </c>
      <c r="H1085" s="34">
        <f>(C1085*1.19469026548)+(0)</f>
        <v>12.663716814088</v>
      </c>
      <c r="I1085" s="34">
        <f>(C1085*1.16814159292)+(-2)</f>
        <v>10.382300884952</v>
      </c>
      <c r="J1085" s="34">
        <f>(C1085*1.1238938053)+(-3.9)</f>
        <v>8.0132743361800003</v>
      </c>
      <c r="K1085" s="34">
        <f>(C1085*1.07964601769)+(-5.6)</f>
        <v>5.844247787514</v>
      </c>
    </row>
    <row r="1086" spans="1:11" s="21" customFormat="1" ht="19.95" customHeight="1" x14ac:dyDescent="0.25">
      <c r="A1086" s="13" t="str">
        <f>"74899"</f>
        <v>74899</v>
      </c>
      <c r="B1086" s="14" t="s">
        <v>1428</v>
      </c>
      <c r="C1086" s="13" t="str">
        <f>"20.6"</f>
        <v>20.6</v>
      </c>
      <c r="D1086" s="32">
        <f>(C1086*1.24778761061)+(0.4)</f>
        <v>26.104424778566003</v>
      </c>
      <c r="E1086" s="33">
        <f>(C1086*1.16814159292)+(-1)</f>
        <v>23.063716814152002</v>
      </c>
      <c r="F1086" s="33">
        <f>(C1086*1.1238938053)+(-4.4)</f>
        <v>18.752212389180002</v>
      </c>
      <c r="G1086" s="33">
        <f>(C1086*1.06194690265)+(-5.9)</f>
        <v>15.976106194590001</v>
      </c>
      <c r="H1086" s="34">
        <f>(C1086*1.19469026548)+(0)</f>
        <v>24.610619468888</v>
      </c>
      <c r="I1086" s="34">
        <f>(C1086*1.16814159292)+(-2)</f>
        <v>22.063716814152002</v>
      </c>
      <c r="J1086" s="34">
        <f>(C1086*1.1238938053)+(-3.9)</f>
        <v>19.252212389180006</v>
      </c>
      <c r="K1086" s="34">
        <f>(C1086*1.07964601769)+(-5.6)</f>
        <v>16.640707964414005</v>
      </c>
    </row>
    <row r="1087" spans="1:11" s="21" customFormat="1" ht="19.95" customHeight="1" x14ac:dyDescent="0.25">
      <c r="A1087" s="13" t="str">
        <f>"16681"</f>
        <v>16681</v>
      </c>
      <c r="B1087" s="14" t="s">
        <v>1432</v>
      </c>
      <c r="C1087" s="13" t="str">
        <f>"32.9"</f>
        <v>32.9</v>
      </c>
      <c r="D1087" s="32">
        <f>(C1087*1.24778761061)+(0.4)</f>
        <v>41.452212389068997</v>
      </c>
      <c r="E1087" s="33">
        <f>(C1087*1.16814159292)+(-1)</f>
        <v>37.431858407067999</v>
      </c>
      <c r="F1087" s="33">
        <f>(C1087*1.1238938053)+(-4.4)</f>
        <v>32.576106194369999</v>
      </c>
      <c r="G1087" s="33">
        <f>(C1087*1.06194690265)+(-5.9)</f>
        <v>29.038053097184999</v>
      </c>
      <c r="H1087" s="34">
        <f>(C1087*1.19469026548)+(0)</f>
        <v>39.305309734291995</v>
      </c>
      <c r="I1087" s="34">
        <f>(C1087*1.16814159292)+(-2)</f>
        <v>36.431858407067999</v>
      </c>
      <c r="J1087" s="34">
        <f>(C1087*1.1238938053)+(-3.9)</f>
        <v>33.076106194369999</v>
      </c>
      <c r="K1087" s="34">
        <f>(C1087*1.07964601769)+(-5.6)</f>
        <v>29.920353982000996</v>
      </c>
    </row>
    <row r="1088" spans="1:11" s="21" customFormat="1" ht="19.95" customHeight="1" x14ac:dyDescent="0.25">
      <c r="A1088" s="13" t="str">
        <f>"47588"</f>
        <v>47588</v>
      </c>
      <c r="B1088" s="14" t="s">
        <v>1433</v>
      </c>
      <c r="C1088" s="13" t="str">
        <f>"7.7"</f>
        <v>7.7</v>
      </c>
      <c r="D1088" s="32">
        <f>(C1088*1.24778761061)+(0.4)</f>
        <v>10.007964601697001</v>
      </c>
      <c r="E1088" s="33">
        <f>(C1088*1.16814159292)+(-1)</f>
        <v>7.9946902654840013</v>
      </c>
      <c r="F1088" s="33">
        <f>(C1088*1.1238938053)+(-4.4)</f>
        <v>4.2539823008099997</v>
      </c>
      <c r="G1088" s="33">
        <f>(C1088*1.06194690265)+(-5.9)</f>
        <v>2.2769911504049993</v>
      </c>
      <c r="H1088" s="34">
        <f>(C1088*1.19469026548)+(0)</f>
        <v>9.1991150441960006</v>
      </c>
      <c r="I1088" s="34">
        <f>(C1088*1.16814159292)+(-2)</f>
        <v>6.9946902654840013</v>
      </c>
      <c r="J1088" s="34">
        <f>(C1088*1.1238938053)+(-3.9)</f>
        <v>4.7539823008099997</v>
      </c>
      <c r="K1088" s="34">
        <f>(C1088*1.07964601769)+(-5.6)</f>
        <v>2.7132743362130007</v>
      </c>
    </row>
    <row r="1089" spans="1:11" s="21" customFormat="1" ht="19.95" customHeight="1" x14ac:dyDescent="0.25">
      <c r="A1089" s="13" t="str">
        <f>"16686"</f>
        <v>16686</v>
      </c>
      <c r="B1089" s="14" t="s">
        <v>1434</v>
      </c>
      <c r="C1089" s="13" t="str">
        <f>"20.3"</f>
        <v>20.3</v>
      </c>
      <c r="D1089" s="32">
        <f>(C1089*1.24778761061)+(0.4)</f>
        <v>25.730088495383001</v>
      </c>
      <c r="E1089" s="33">
        <f>(C1089*1.16814159292)+(-1)</f>
        <v>22.713274336276001</v>
      </c>
      <c r="F1089" s="33">
        <f>(C1089*1.1238938053)+(-4.4)</f>
        <v>18.415044247590004</v>
      </c>
      <c r="G1089" s="33">
        <f>(C1089*1.06194690265)+(-5.9)</f>
        <v>15.657522123794999</v>
      </c>
      <c r="H1089" s="34">
        <f>(C1089*1.19469026548)+(0)</f>
        <v>24.252212389244001</v>
      </c>
      <c r="I1089" s="34">
        <f>(C1089*1.16814159292)+(-2)</f>
        <v>21.713274336276001</v>
      </c>
      <c r="J1089" s="34">
        <f>(C1089*1.1238938053)+(-3.9)</f>
        <v>18.915044247590004</v>
      </c>
      <c r="K1089" s="34">
        <f>(C1089*1.07964601769)+(-5.6)</f>
        <v>16.316814159107004</v>
      </c>
    </row>
    <row r="1090" spans="1:11" s="21" customFormat="1" ht="19.95" customHeight="1" x14ac:dyDescent="0.25">
      <c r="A1090" s="13" t="str">
        <f>"46330"</f>
        <v>46330</v>
      </c>
      <c r="B1090" s="14" t="s">
        <v>1435</v>
      </c>
      <c r="C1090" s="13" t="str">
        <f>"16.4"</f>
        <v>16.4</v>
      </c>
      <c r="D1090" s="32">
        <f>(C1090*1.24778761061)+(0.4)</f>
        <v>20.863716814003997</v>
      </c>
      <c r="E1090" s="33">
        <f>(C1090*1.16814159292)+(-1)</f>
        <v>18.157522123888</v>
      </c>
      <c r="F1090" s="33">
        <f>(C1090*1.1238938053)+(-4.4)</f>
        <v>14.03185840692</v>
      </c>
      <c r="G1090" s="33">
        <f>(C1090*1.06194690265)+(-5.9)</f>
        <v>11.515929203459995</v>
      </c>
      <c r="H1090" s="34">
        <f>(C1090*1.19469026548)+(0)</f>
        <v>19.592920353872</v>
      </c>
      <c r="I1090" s="34">
        <f>(C1090*1.16814159292)+(-2)</f>
        <v>17.157522123888</v>
      </c>
      <c r="J1090" s="34">
        <f>(C1090*1.1238938053)+(-3.9)</f>
        <v>14.53185840692</v>
      </c>
      <c r="K1090" s="34">
        <f>(C1090*1.07964601769)+(-5.6)</f>
        <v>12.106194690116</v>
      </c>
    </row>
    <row r="1091" spans="1:11" s="21" customFormat="1" ht="19.95" customHeight="1" x14ac:dyDescent="0.25">
      <c r="A1091" s="13" t="str">
        <f>"81056"</f>
        <v>81056</v>
      </c>
      <c r="B1091" s="14" t="s">
        <v>1436</v>
      </c>
      <c r="C1091" s="13" t="str">
        <f>"21.0"</f>
        <v>21.0</v>
      </c>
      <c r="D1091" s="32">
        <f>(C1091*1.24778761061)+(0.4)</f>
        <v>26.603539822809999</v>
      </c>
      <c r="E1091" s="33">
        <f>(C1091*1.16814159292)+(-1)</f>
        <v>23.530973451320001</v>
      </c>
      <c r="F1091" s="33">
        <f>(C1091*1.1238938053)+(-4.4)</f>
        <v>19.201769911299998</v>
      </c>
      <c r="G1091" s="33">
        <f>(C1091*1.06194690265)+(-5.9)</f>
        <v>16.40088495565</v>
      </c>
      <c r="H1091" s="34">
        <f>(C1091*1.19469026548)+(0)</f>
        <v>25.08849557508</v>
      </c>
      <c r="I1091" s="34">
        <f>(C1091*1.16814159292)+(-2)</f>
        <v>22.530973451320001</v>
      </c>
      <c r="J1091" s="34">
        <f>(C1091*1.1238938053)+(-3.9)</f>
        <v>19.701769911300001</v>
      </c>
      <c r="K1091" s="34">
        <f>(C1091*1.07964601769)+(-5.6)</f>
        <v>17.072566371489998</v>
      </c>
    </row>
    <row r="1092" spans="1:11" s="21" customFormat="1" ht="19.95" customHeight="1" x14ac:dyDescent="0.25">
      <c r="A1092" s="13" t="str">
        <f>"16692"</f>
        <v>16692</v>
      </c>
      <c r="B1092" s="14" t="s">
        <v>1437</v>
      </c>
      <c r="C1092" s="13" t="str">
        <f>"16.8"</f>
        <v>16.8</v>
      </c>
      <c r="D1092" s="32">
        <f>(C1092*1.24778761061)+(0.4)</f>
        <v>21.362831858248001</v>
      </c>
      <c r="E1092" s="33">
        <f>(C1092*1.16814159292)+(-1)</f>
        <v>18.624778761056003</v>
      </c>
      <c r="F1092" s="33">
        <f>(C1092*1.1238938053)+(-4.4)</f>
        <v>14.481415929040002</v>
      </c>
      <c r="G1092" s="33">
        <f>(C1092*1.06194690265)+(-5.9)</f>
        <v>11.94070796452</v>
      </c>
      <c r="H1092" s="34">
        <f>(C1092*1.19469026548)+(0)</f>
        <v>20.070796460064003</v>
      </c>
      <c r="I1092" s="34">
        <f>(C1092*1.16814159292)+(-2)</f>
        <v>17.624778761056003</v>
      </c>
      <c r="J1092" s="34">
        <f>(C1092*1.1238938053)+(-3.9)</f>
        <v>14.981415929040002</v>
      </c>
      <c r="K1092" s="34">
        <f>(C1092*1.07964601769)+(-5.6)</f>
        <v>12.538053097192</v>
      </c>
    </row>
    <row r="1093" spans="1:11" s="21" customFormat="1" ht="19.95" customHeight="1" x14ac:dyDescent="0.25">
      <c r="A1093" s="13" t="str">
        <f>"3359"</f>
        <v>3359</v>
      </c>
      <c r="B1093" s="14" t="s">
        <v>1438</v>
      </c>
      <c r="C1093" s="13" t="str">
        <f>"16.0"</f>
        <v>16.0</v>
      </c>
      <c r="D1093" s="32">
        <f>(C1093*1.24778761061)+(0.4)</f>
        <v>20.36460176976</v>
      </c>
      <c r="E1093" s="33">
        <f>(C1093*1.16814159292)+(-1)</f>
        <v>17.690265486720001</v>
      </c>
      <c r="F1093" s="33">
        <f>(C1093*1.1238938053)+(-4.4)</f>
        <v>13.5823008848</v>
      </c>
      <c r="G1093" s="33">
        <f>(C1093*1.06194690265)+(-5.9)</f>
        <v>11.091150442399998</v>
      </c>
      <c r="H1093" s="34">
        <f>(C1093*1.19469026548)+(0)</f>
        <v>19.11504424768</v>
      </c>
      <c r="I1093" s="34">
        <f>(C1093*1.16814159292)+(-2)</f>
        <v>16.690265486720001</v>
      </c>
      <c r="J1093" s="34">
        <f>(C1093*1.1238938053)+(-3.9)</f>
        <v>14.0823008848</v>
      </c>
      <c r="K1093" s="34">
        <f>(C1093*1.07964601769)+(-5.6)</f>
        <v>11.674336283040001</v>
      </c>
    </row>
    <row r="1094" spans="1:11" s="21" customFormat="1" ht="19.95" customHeight="1" x14ac:dyDescent="0.25">
      <c r="A1094" s="13" t="str">
        <f>"79526"</f>
        <v>79526</v>
      </c>
      <c r="B1094" s="14" t="s">
        <v>1439</v>
      </c>
      <c r="C1094" s="13" t="str">
        <f>"15.9"</f>
        <v>15.9</v>
      </c>
      <c r="D1094" s="32">
        <f>(C1094*1.24778761061)+(0.4)</f>
        <v>20.239823008699002</v>
      </c>
      <c r="E1094" s="33">
        <f>(C1094*1.16814159292)+(-1)</f>
        <v>17.573451327428003</v>
      </c>
      <c r="F1094" s="33">
        <f>(C1094*1.1238938053)+(-4.4)</f>
        <v>13.46991150427</v>
      </c>
      <c r="G1094" s="33">
        <f>(C1094*1.06194690265)+(-5.9)</f>
        <v>10.984955752134999</v>
      </c>
      <c r="H1094" s="34">
        <f>(C1094*1.19469026548)+(0)</f>
        <v>18.995575221132</v>
      </c>
      <c r="I1094" s="34">
        <f>(C1094*1.16814159292)+(-2)</f>
        <v>16.573451327428003</v>
      </c>
      <c r="J1094" s="34">
        <f>(C1094*1.1238938053)+(-3.9)</f>
        <v>13.96991150427</v>
      </c>
      <c r="K1094" s="34">
        <f>(C1094*1.07964601769)+(-5.6)</f>
        <v>11.566371681271002</v>
      </c>
    </row>
    <row r="1095" spans="1:11" s="21" customFormat="1" ht="19.95" customHeight="1" x14ac:dyDescent="0.25">
      <c r="A1095" s="13" t="str">
        <f>"81403"</f>
        <v>81403</v>
      </c>
      <c r="B1095" s="14" t="s">
        <v>1440</v>
      </c>
      <c r="C1095" s="13" t="str">
        <f>"16.4"</f>
        <v>16.4</v>
      </c>
      <c r="D1095" s="32">
        <f>(C1095*1.24778761061)+(0.4)</f>
        <v>20.863716814003997</v>
      </c>
      <c r="E1095" s="33">
        <f>(C1095*1.16814159292)+(-1)</f>
        <v>18.157522123888</v>
      </c>
      <c r="F1095" s="33">
        <f>(C1095*1.1238938053)+(-4.4)</f>
        <v>14.03185840692</v>
      </c>
      <c r="G1095" s="33">
        <f>(C1095*1.06194690265)+(-5.9)</f>
        <v>11.515929203459995</v>
      </c>
      <c r="H1095" s="34">
        <f>(C1095*1.19469026548)+(0)</f>
        <v>19.592920353872</v>
      </c>
      <c r="I1095" s="34">
        <f>(C1095*1.16814159292)+(-2)</f>
        <v>17.157522123888</v>
      </c>
      <c r="J1095" s="34">
        <f>(C1095*1.1238938053)+(-3.9)</f>
        <v>14.53185840692</v>
      </c>
      <c r="K1095" s="34">
        <f>(C1095*1.07964601769)+(-5.6)</f>
        <v>12.106194690116</v>
      </c>
    </row>
    <row r="1096" spans="1:11" s="21" customFormat="1" ht="19.95" customHeight="1" x14ac:dyDescent="0.25">
      <c r="A1096" s="13" t="str">
        <f>"1005160"</f>
        <v>1005160</v>
      </c>
      <c r="B1096" s="14" t="s">
        <v>1441</v>
      </c>
      <c r="C1096" s="13" t="str">
        <f>"17.9"</f>
        <v>17.9</v>
      </c>
      <c r="D1096" s="32">
        <f>(C1096*1.24778761061)+(0.4)</f>
        <v>22.735398229918999</v>
      </c>
      <c r="E1096" s="33">
        <f>(C1096*1.16814159292)+(-1)</f>
        <v>19.909734513267999</v>
      </c>
      <c r="F1096" s="33">
        <f>(C1096*1.1238938053)+(-4.4)</f>
        <v>15.717699114869999</v>
      </c>
      <c r="G1096" s="33">
        <f>(C1096*1.06194690265)+(-5.9)</f>
        <v>13.108849557434995</v>
      </c>
      <c r="H1096" s="34">
        <f>(C1096*1.19469026548)+(0)</f>
        <v>21.384955752091997</v>
      </c>
      <c r="I1096" s="34">
        <f>(C1096*1.16814159292)+(-2)</f>
        <v>18.909734513267999</v>
      </c>
      <c r="J1096" s="34">
        <f>(C1096*1.1238938053)+(-3.9)</f>
        <v>16.217699114870001</v>
      </c>
      <c r="K1096" s="34">
        <f>(C1096*1.07964601769)+(-5.6)</f>
        <v>13.725663716651001</v>
      </c>
    </row>
    <row r="1097" spans="1:11" s="21" customFormat="1" ht="19.95" customHeight="1" x14ac:dyDescent="0.25">
      <c r="A1097" s="13" t="str">
        <f>"16697"</f>
        <v>16697</v>
      </c>
      <c r="B1097" s="14" t="s">
        <v>1442</v>
      </c>
      <c r="C1097" s="13" t="str">
        <f>"20.2"</f>
        <v>20.2</v>
      </c>
      <c r="D1097" s="32">
        <f>(C1097*1.24778761061)+(0.4)</f>
        <v>25.605309734321999</v>
      </c>
      <c r="E1097" s="33">
        <f>(C1097*1.16814159292)+(-1)</f>
        <v>22.596460176983999</v>
      </c>
      <c r="F1097" s="33">
        <f>(C1097*1.1238938053)+(-4.4)</f>
        <v>18.302654867059999</v>
      </c>
      <c r="G1097" s="33">
        <f>(C1097*1.06194690265)+(-5.9)</f>
        <v>15.551327433529996</v>
      </c>
      <c r="H1097" s="34">
        <f>(C1097*1.19469026548)+(0)</f>
        <v>24.132743362696001</v>
      </c>
      <c r="I1097" s="34">
        <f>(C1097*1.16814159292)+(-2)</f>
        <v>21.596460176983999</v>
      </c>
      <c r="J1097" s="34">
        <f>(C1097*1.1238938053)+(-3.9)</f>
        <v>18.802654867060003</v>
      </c>
      <c r="K1097" s="34">
        <f>(C1097*1.07964601769)+(-5.6)</f>
        <v>16.208849557337999</v>
      </c>
    </row>
    <row r="1098" spans="1:11" s="21" customFormat="1" ht="19.95" customHeight="1" x14ac:dyDescent="0.25">
      <c r="A1098" s="13" t="str">
        <f>"16698"</f>
        <v>16698</v>
      </c>
      <c r="B1098" s="14" t="s">
        <v>1443</v>
      </c>
      <c r="C1098" s="13" t="str">
        <f>"13.6"</f>
        <v>13.6</v>
      </c>
      <c r="D1098" s="32">
        <f>(C1098*1.24778761061)+(0.4)</f>
        <v>17.369911504295999</v>
      </c>
      <c r="E1098" s="33">
        <f>(C1098*1.16814159292)+(-1)</f>
        <v>14.886725663712001</v>
      </c>
      <c r="F1098" s="33">
        <f>(C1098*1.1238938053)+(-4.4)</f>
        <v>10.88495575208</v>
      </c>
      <c r="G1098" s="33">
        <f>(C1098*1.06194690265)+(-5.9)</f>
        <v>8.5424778760399978</v>
      </c>
      <c r="H1098" s="34">
        <f>(C1098*1.19469026548)+(0)</f>
        <v>16.247787610528</v>
      </c>
      <c r="I1098" s="34">
        <f>(C1098*1.16814159292)+(-2)</f>
        <v>13.886725663712001</v>
      </c>
      <c r="J1098" s="34">
        <f>(C1098*1.1238938053)+(-3.9)</f>
        <v>11.38495575208</v>
      </c>
      <c r="K1098" s="34">
        <f>(C1098*1.07964601769)+(-5.6)</f>
        <v>9.0831858405840009</v>
      </c>
    </row>
    <row r="1099" spans="1:11" s="21" customFormat="1" ht="19.95" customHeight="1" x14ac:dyDescent="0.25">
      <c r="A1099" s="13" t="str">
        <f>"16699"</f>
        <v>16699</v>
      </c>
      <c r="B1099" s="14" t="s">
        <v>1444</v>
      </c>
      <c r="C1099" s="13" t="str">
        <f>"16.2"</f>
        <v>16.2</v>
      </c>
      <c r="D1099" s="32">
        <f>(C1099*1.24778761061)+(0.4)</f>
        <v>20.614159291882</v>
      </c>
      <c r="E1099" s="33">
        <f>(C1099*1.16814159292)+(-1)</f>
        <v>17.923893805304001</v>
      </c>
      <c r="F1099" s="33">
        <f>(C1099*1.1238938053)+(-4.4)</f>
        <v>13.807079645859998</v>
      </c>
      <c r="G1099" s="33">
        <f>(C1099*1.06194690265)+(-5.9)</f>
        <v>11.303539822929997</v>
      </c>
      <c r="H1099" s="34">
        <f>(C1099*1.19469026548)+(0)</f>
        <v>19.353982300776</v>
      </c>
      <c r="I1099" s="34">
        <f>(C1099*1.16814159292)+(-2)</f>
        <v>16.923893805304001</v>
      </c>
      <c r="J1099" s="34">
        <f>(C1099*1.1238938053)+(-3.9)</f>
        <v>14.307079645859998</v>
      </c>
      <c r="K1099" s="34">
        <f>(C1099*1.07964601769)+(-5.6)</f>
        <v>11.890265486578</v>
      </c>
    </row>
    <row r="1100" spans="1:11" s="21" customFormat="1" ht="19.95" customHeight="1" x14ac:dyDescent="0.25">
      <c r="A1100" s="13" t="str">
        <f>"16700"</f>
        <v>16700</v>
      </c>
      <c r="B1100" s="14" t="s">
        <v>1445</v>
      </c>
      <c r="C1100" s="13" t="str">
        <f>"14.7"</f>
        <v>14.7</v>
      </c>
      <c r="D1100" s="32">
        <f>(C1100*1.24778761061)+(0.4)</f>
        <v>18.742477875966998</v>
      </c>
      <c r="E1100" s="33">
        <f>(C1100*1.16814159292)+(-1)</f>
        <v>16.171681415923999</v>
      </c>
      <c r="F1100" s="33">
        <f>(C1100*1.1238938053)+(-4.4)</f>
        <v>12.121238937909999</v>
      </c>
      <c r="G1100" s="33">
        <f>(C1100*1.06194690265)+(-5.9)</f>
        <v>9.7106194689549969</v>
      </c>
      <c r="H1100" s="34">
        <f>(C1100*1.19469026548)+(0)</f>
        <v>17.561946902555999</v>
      </c>
      <c r="I1100" s="34">
        <f>(C1100*1.16814159292)+(-2)</f>
        <v>15.171681415923999</v>
      </c>
      <c r="J1100" s="34">
        <f>(C1100*1.1238938053)+(-3.9)</f>
        <v>12.621238937909999</v>
      </c>
      <c r="K1100" s="34">
        <f>(C1100*1.07964601769)+(-5.6)</f>
        <v>10.270796460043</v>
      </c>
    </row>
    <row r="1101" spans="1:11" s="21" customFormat="1" ht="19.95" customHeight="1" x14ac:dyDescent="0.25">
      <c r="A1101" s="13" t="str">
        <f>"16701"</f>
        <v>16701</v>
      </c>
      <c r="B1101" s="14" t="s">
        <v>1446</v>
      </c>
      <c r="C1101" s="13" t="str">
        <f>"15.5"</f>
        <v>15.5</v>
      </c>
      <c r="D1101" s="32">
        <f>(C1101*1.24778761061)+(0.4)</f>
        <v>19.740707964455002</v>
      </c>
      <c r="E1101" s="33">
        <f>(C1101*1.16814159292)+(-1)</f>
        <v>17.106194690260001</v>
      </c>
      <c r="F1101" s="33">
        <f>(C1101*1.1238938053)+(-4.4)</f>
        <v>13.020353982150001</v>
      </c>
      <c r="G1101" s="33">
        <f>(C1101*1.06194690265)+(-5.9)</f>
        <v>10.560176991074998</v>
      </c>
      <c r="H1101" s="34">
        <f>(C1101*1.19469026548)+(0)</f>
        <v>18.517699114940001</v>
      </c>
      <c r="I1101" s="34">
        <f>(C1101*1.16814159292)+(-2)</f>
        <v>16.106194690260001</v>
      </c>
      <c r="J1101" s="34">
        <f>(C1101*1.1238938053)+(-3.9)</f>
        <v>13.520353982150001</v>
      </c>
      <c r="K1101" s="34">
        <f>(C1101*1.07964601769)+(-5.6)</f>
        <v>11.134513274194999</v>
      </c>
    </row>
    <row r="1102" spans="1:11" s="21" customFormat="1" ht="19.95" customHeight="1" x14ac:dyDescent="0.25">
      <c r="A1102" s="13" t="str">
        <f>"16702"</f>
        <v>16702</v>
      </c>
      <c r="B1102" s="14" t="s">
        <v>1447</v>
      </c>
      <c r="C1102" s="13" t="str">
        <f>"8.2"</f>
        <v>8.2</v>
      </c>
      <c r="D1102" s="32">
        <f>(C1102*1.24778761061)+(0.4)</f>
        <v>10.631858407001999</v>
      </c>
      <c r="E1102" s="33">
        <f>(C1102*1.16814159292)+(-1)</f>
        <v>8.5787610619440002</v>
      </c>
      <c r="F1102" s="33">
        <f>(C1102*1.1238938053)+(-4.4)</f>
        <v>4.8159292034599996</v>
      </c>
      <c r="G1102" s="33">
        <f>(C1102*1.06194690265)+(-5.9)</f>
        <v>2.8079646017299975</v>
      </c>
      <c r="H1102" s="34">
        <f>(C1102*1.19469026548)+(0)</f>
        <v>9.7964601769359998</v>
      </c>
      <c r="I1102" s="34">
        <f>(C1102*1.16814159292)+(-2)</f>
        <v>7.5787610619440002</v>
      </c>
      <c r="J1102" s="34">
        <f>(C1102*1.1238938053)+(-3.9)</f>
        <v>5.3159292034599996</v>
      </c>
      <c r="K1102" s="34">
        <f>(C1102*1.07964601769)+(-5.6)</f>
        <v>3.2530973450580003</v>
      </c>
    </row>
    <row r="1103" spans="1:11" s="21" customFormat="1" ht="19.95" customHeight="1" x14ac:dyDescent="0.25">
      <c r="A1103" s="13" t="str">
        <f>"1005026"</f>
        <v>1005026</v>
      </c>
      <c r="B1103" s="14" t="s">
        <v>1448</v>
      </c>
      <c r="C1103" s="13" t="str">
        <f>"30.7"</f>
        <v>30.7</v>
      </c>
      <c r="D1103" s="32">
        <f>(C1103*1.24778761061)+(0.4)</f>
        <v>38.707079645726999</v>
      </c>
      <c r="E1103" s="33">
        <f>(C1103*1.16814159292)+(-1)</f>
        <v>34.861946902644</v>
      </c>
      <c r="F1103" s="33">
        <f>(C1103*1.1238938053)+(-4.4)</f>
        <v>30.103539822710005</v>
      </c>
      <c r="G1103" s="33">
        <f>(C1103*1.06194690265)+(-5.9)</f>
        <v>26.701769911355001</v>
      </c>
      <c r="H1103" s="34">
        <f>(C1103*1.19469026548)+(0)</f>
        <v>36.676991150235999</v>
      </c>
      <c r="I1103" s="34">
        <f>(C1103*1.16814159292)+(-2)</f>
        <v>33.861946902644</v>
      </c>
      <c r="J1103" s="34">
        <f>(C1103*1.1238938053)+(-3.9)</f>
        <v>30.603539822710005</v>
      </c>
      <c r="K1103" s="34">
        <f>(C1103*1.07964601769)+(-5.6)</f>
        <v>27.545132743082995</v>
      </c>
    </row>
    <row r="1104" spans="1:11" s="21" customFormat="1" ht="19.95" customHeight="1" x14ac:dyDescent="0.25">
      <c r="A1104" s="13" t="str">
        <f>"16703"</f>
        <v>16703</v>
      </c>
      <c r="B1104" s="14" t="s">
        <v>1449</v>
      </c>
      <c r="C1104" s="13" t="str">
        <f>"18.3"</f>
        <v>18.3</v>
      </c>
      <c r="D1104" s="32">
        <f>(C1104*1.24778761061)+(0.4)</f>
        <v>23.234513274163</v>
      </c>
      <c r="E1104" s="33">
        <f>(C1104*1.16814159292)+(-1)</f>
        <v>20.376991150436002</v>
      </c>
      <c r="F1104" s="33">
        <f>(C1104*1.1238938053)+(-4.4)</f>
        <v>16.167256636990004</v>
      </c>
      <c r="G1104" s="33">
        <f>(C1104*1.06194690265)+(-5.9)</f>
        <v>13.533628318494999</v>
      </c>
      <c r="H1104" s="34">
        <f>(C1104*1.19469026548)+(0)</f>
        <v>21.862831858284</v>
      </c>
      <c r="I1104" s="34">
        <f>(C1104*1.16814159292)+(-2)</f>
        <v>19.376991150436002</v>
      </c>
      <c r="J1104" s="34">
        <f>(C1104*1.1238938053)+(-3.9)</f>
        <v>16.667256636990004</v>
      </c>
      <c r="K1104" s="34">
        <f>(C1104*1.07964601769)+(-5.6)</f>
        <v>14.157522123727</v>
      </c>
    </row>
    <row r="1105" spans="1:11" s="21" customFormat="1" ht="19.95" customHeight="1" x14ac:dyDescent="0.25">
      <c r="A1105" s="13" t="str">
        <f>"75876"</f>
        <v>75876</v>
      </c>
      <c r="B1105" s="14" t="s">
        <v>1450</v>
      </c>
      <c r="C1105" s="13" t="str">
        <f>"8.2"</f>
        <v>8.2</v>
      </c>
      <c r="D1105" s="32">
        <f>(C1105*1.24778761061)+(0.4)</f>
        <v>10.631858407001999</v>
      </c>
      <c r="E1105" s="33">
        <f>(C1105*1.16814159292)+(-1)</f>
        <v>8.5787610619440002</v>
      </c>
      <c r="F1105" s="33">
        <f>(C1105*1.1238938053)+(-4.4)</f>
        <v>4.8159292034599996</v>
      </c>
      <c r="G1105" s="33">
        <f>(C1105*1.06194690265)+(-5.9)</f>
        <v>2.8079646017299975</v>
      </c>
      <c r="H1105" s="34">
        <f>(C1105*1.19469026548)+(0)</f>
        <v>9.7964601769359998</v>
      </c>
      <c r="I1105" s="34">
        <f>(C1105*1.16814159292)+(-2)</f>
        <v>7.5787610619440002</v>
      </c>
      <c r="J1105" s="34">
        <f>(C1105*1.1238938053)+(-3.9)</f>
        <v>5.3159292034599996</v>
      </c>
      <c r="K1105" s="34">
        <f>(C1105*1.07964601769)+(-5.6)</f>
        <v>3.2530973450580003</v>
      </c>
    </row>
    <row r="1106" spans="1:11" s="21" customFormat="1" ht="19.95" customHeight="1" x14ac:dyDescent="0.25">
      <c r="A1106" s="13" t="str">
        <f>"16707"</f>
        <v>16707</v>
      </c>
      <c r="B1106" s="14" t="s">
        <v>1451</v>
      </c>
      <c r="C1106" s="13" t="str">
        <f>"42.5"</f>
        <v>42.5</v>
      </c>
      <c r="D1106" s="32">
        <f>(C1106*1.24778761061)+(0.4)</f>
        <v>53.430973450925002</v>
      </c>
      <c r="E1106" s="33">
        <f>(C1106*1.16814159292)+(-1)</f>
        <v>48.646017699100007</v>
      </c>
      <c r="F1106" s="33">
        <f>(C1106*1.1238938053)+(-4.4)</f>
        <v>43.365486725250001</v>
      </c>
      <c r="G1106" s="33">
        <f>(C1106*1.06194690265)+(-5.9)</f>
        <v>39.232743362624994</v>
      </c>
      <c r="H1106" s="34">
        <f>(C1106*1.19469026548)+(0)</f>
        <v>50.774336282900002</v>
      </c>
      <c r="I1106" s="34">
        <f>(C1106*1.16814159292)+(-2)</f>
        <v>47.646017699100007</v>
      </c>
      <c r="J1106" s="34">
        <f>(C1106*1.1238938053)+(-3.9)</f>
        <v>43.865486725250001</v>
      </c>
      <c r="K1106" s="34">
        <f>(C1106*1.07964601769)+(-5.6)</f>
        <v>40.284955751825002</v>
      </c>
    </row>
    <row r="1107" spans="1:11" s="21" customFormat="1" ht="19.95" customHeight="1" x14ac:dyDescent="0.25">
      <c r="A1107" s="13" t="str">
        <f>"64057"</f>
        <v>64057</v>
      </c>
      <c r="B1107" s="14" t="s">
        <v>1452</v>
      </c>
      <c r="C1107" s="13" t="str">
        <f>"25.3"</f>
        <v>25.3</v>
      </c>
      <c r="D1107" s="32">
        <f>(C1107*1.24778761061)+(0.4)</f>
        <v>31.969026548433003</v>
      </c>
      <c r="E1107" s="33">
        <f>(C1107*1.16814159292)+(-1)</f>
        <v>28.553982300876005</v>
      </c>
      <c r="F1107" s="33">
        <f>(C1107*1.1238938053)+(-4.4)</f>
        <v>24.034513274090003</v>
      </c>
      <c r="G1107" s="33">
        <f>(C1107*1.06194690265)+(-5.9)</f>
        <v>20.967256637044997</v>
      </c>
      <c r="H1107" s="34">
        <f>(C1107*1.19469026548)+(0)</f>
        <v>30.225663716644</v>
      </c>
      <c r="I1107" s="34">
        <f>(C1107*1.16814159292)+(-2)</f>
        <v>27.553982300876005</v>
      </c>
      <c r="J1107" s="34">
        <f>(C1107*1.1238938053)+(-3.9)</f>
        <v>24.534513274090003</v>
      </c>
      <c r="K1107" s="34">
        <f>(C1107*1.07964601769)+(-5.6)</f>
        <v>21.715044247557003</v>
      </c>
    </row>
    <row r="1108" spans="1:11" s="21" customFormat="1" ht="19.95" customHeight="1" x14ac:dyDescent="0.25">
      <c r="A1108" s="13" t="str">
        <f>"16708"</f>
        <v>16708</v>
      </c>
      <c r="B1108" s="14" t="s">
        <v>1453</v>
      </c>
      <c r="C1108" s="13" t="str">
        <f>"21.9"</f>
        <v>21.9</v>
      </c>
      <c r="D1108" s="32">
        <f>(C1108*1.24778761061)+(0.4)</f>
        <v>27.726548672358998</v>
      </c>
      <c r="E1108" s="33">
        <f>(C1108*1.16814159292)+(-1)</f>
        <v>24.582300884948001</v>
      </c>
      <c r="F1108" s="33">
        <f>(C1108*1.1238938053)+(-4.4)</f>
        <v>20.21327433607</v>
      </c>
      <c r="G1108" s="33">
        <f>(C1108*1.06194690265)+(-5.9)</f>
        <v>17.356637168034993</v>
      </c>
      <c r="H1108" s="34">
        <f>(C1108*1.19469026548)+(0)</f>
        <v>26.163716814011998</v>
      </c>
      <c r="I1108" s="34">
        <f>(C1108*1.16814159292)+(-2)</f>
        <v>23.582300884948001</v>
      </c>
      <c r="J1108" s="34">
        <f>(C1108*1.1238938053)+(-3.9)</f>
        <v>20.71327433607</v>
      </c>
      <c r="K1108" s="34">
        <f>(C1108*1.07964601769)+(-5.6)</f>
        <v>18.044247787411003</v>
      </c>
    </row>
    <row r="1109" spans="1:11" s="21" customFormat="1" ht="19.95" customHeight="1" x14ac:dyDescent="0.25">
      <c r="A1109" s="13" t="str">
        <f>"16712"</f>
        <v>16712</v>
      </c>
      <c r="B1109" s="14" t="s">
        <v>1454</v>
      </c>
      <c r="C1109" s="13" t="str">
        <f>"27.8"</f>
        <v>27.8</v>
      </c>
      <c r="D1109" s="32">
        <f>(C1109*1.24778761061)+(0.4)</f>
        <v>35.088495574958003</v>
      </c>
      <c r="E1109" s="33">
        <f>(C1109*1.16814159292)+(-1)</f>
        <v>31.474336283176001</v>
      </c>
      <c r="F1109" s="33">
        <f>(C1109*1.1238938053)+(-4.4)</f>
        <v>26.844247787340002</v>
      </c>
      <c r="G1109" s="33">
        <f>(C1109*1.06194690265)+(-5.9)</f>
        <v>23.62212389367</v>
      </c>
      <c r="H1109" s="34">
        <f>(C1109*1.19469026548)+(0)</f>
        <v>33.212389380344</v>
      </c>
      <c r="I1109" s="34">
        <f>(C1109*1.16814159292)+(-2)</f>
        <v>30.474336283176001</v>
      </c>
      <c r="J1109" s="34">
        <f>(C1109*1.1238938053)+(-3.9)</f>
        <v>27.344247787340002</v>
      </c>
      <c r="K1109" s="34">
        <f>(C1109*1.07964601769)+(-5.6)</f>
        <v>24.414159291781999</v>
      </c>
    </row>
    <row r="1110" spans="1:11" s="21" customFormat="1" ht="19.95" customHeight="1" x14ac:dyDescent="0.25">
      <c r="A1110" s="13" t="str">
        <f>"16713"</f>
        <v>16713</v>
      </c>
      <c r="B1110" s="14" t="s">
        <v>1455</v>
      </c>
      <c r="C1110" s="13" t="str">
        <f>"23.9"</f>
        <v>23.9</v>
      </c>
      <c r="D1110" s="32">
        <f>(C1110*1.24778761061)+(0.4)</f>
        <v>30.222123893578999</v>
      </c>
      <c r="E1110" s="33">
        <f>(C1110*1.16814159292)+(-1)</f>
        <v>26.918584070788</v>
      </c>
      <c r="F1110" s="33">
        <f>(C1110*1.1238938053)+(-4.4)</f>
        <v>22.46106194667</v>
      </c>
      <c r="G1110" s="33">
        <f>(C1110*1.06194690265)+(-5.9)</f>
        <v>19.480530973334993</v>
      </c>
      <c r="H1110" s="34">
        <f>(C1110*1.19469026548)+(0)</f>
        <v>28.553097344971999</v>
      </c>
      <c r="I1110" s="34">
        <f>(C1110*1.16814159292)+(-2)</f>
        <v>25.918584070788</v>
      </c>
      <c r="J1110" s="34">
        <f>(C1110*1.1238938053)+(-3.9)</f>
        <v>22.96106194667</v>
      </c>
      <c r="K1110" s="34">
        <f>(C1110*1.07964601769)+(-5.6)</f>
        <v>20.203539822791001</v>
      </c>
    </row>
    <row r="1111" spans="1:11" s="21" customFormat="1" ht="19.95" customHeight="1" x14ac:dyDescent="0.25">
      <c r="A1111" s="13" t="str">
        <f>"21292"</f>
        <v>21292</v>
      </c>
      <c r="B1111" s="14" t="s">
        <v>1456</v>
      </c>
      <c r="C1111" s="13" t="str">
        <f>"12.2"</f>
        <v>12.2</v>
      </c>
      <c r="D1111" s="32">
        <f>(C1111*1.24778761061)+(0.4)</f>
        <v>15.623008849442</v>
      </c>
      <c r="E1111" s="33">
        <f>(C1111*1.16814159292)+(-1)</f>
        <v>13.251327433624001</v>
      </c>
      <c r="F1111" s="33">
        <f>(C1111*1.1238938053)+(-4.4)</f>
        <v>9.3115044246599989</v>
      </c>
      <c r="G1111" s="33">
        <f>(C1111*1.06194690265)+(-5.9)</f>
        <v>7.0557522123299972</v>
      </c>
      <c r="H1111" s="34">
        <f>(C1111*1.19469026548)+(0)</f>
        <v>14.575221238855999</v>
      </c>
      <c r="I1111" s="34">
        <f>(C1111*1.16814159292)+(-2)</f>
        <v>12.251327433624001</v>
      </c>
      <c r="J1111" s="34">
        <f>(C1111*1.1238938053)+(-3.9)</f>
        <v>9.8115044246599989</v>
      </c>
      <c r="K1111" s="34">
        <f>(C1111*1.07964601769)+(-5.6)</f>
        <v>7.5716814158180004</v>
      </c>
    </row>
    <row r="1112" spans="1:11" s="21" customFormat="1" ht="19.95" customHeight="1" x14ac:dyDescent="0.25">
      <c r="A1112" s="13" t="str">
        <f>"1016461"</f>
        <v>1016461</v>
      </c>
      <c r="B1112" s="14" t="s">
        <v>1457</v>
      </c>
      <c r="C1112" s="13" t="str">
        <f>"24.2"</f>
        <v>24.2</v>
      </c>
      <c r="D1112" s="32">
        <f>(C1112*1.24778761061)+(0.4)</f>
        <v>30.596460176762001</v>
      </c>
      <c r="E1112" s="33">
        <f>(C1112*1.16814159292)+(-1)</f>
        <v>27.269026548664002</v>
      </c>
      <c r="F1112" s="33">
        <f>(C1112*1.1238938053)+(-4.4)</f>
        <v>22.798230088259999</v>
      </c>
      <c r="G1112" s="33">
        <f>(C1112*1.06194690265)+(-5.9)</f>
        <v>19.799115044129998</v>
      </c>
      <c r="H1112" s="34">
        <f>(C1112*1.19469026548)+(0)</f>
        <v>28.911504424615998</v>
      </c>
      <c r="I1112" s="34">
        <f>(C1112*1.16814159292)+(-2)</f>
        <v>26.269026548664002</v>
      </c>
      <c r="J1112" s="34">
        <f>(C1112*1.1238938053)+(-3.9)</f>
        <v>23.298230088260002</v>
      </c>
      <c r="K1112" s="34">
        <f>(C1112*1.07964601769)+(-5.6)</f>
        <v>20.527433628098002</v>
      </c>
    </row>
    <row r="1113" spans="1:11" s="21" customFormat="1" ht="19.95" customHeight="1" x14ac:dyDescent="0.25">
      <c r="A1113" s="13" t="str">
        <f>"3401"</f>
        <v>3401</v>
      </c>
      <c r="B1113" s="14" t="s">
        <v>1458</v>
      </c>
      <c r="C1113" s="13" t="str">
        <f>"+0.5"</f>
        <v>+0.5</v>
      </c>
      <c r="D1113" s="32">
        <f>(C1113*1.24778761061)+(0.4)</f>
        <v>1.0238938053050002</v>
      </c>
      <c r="E1113" s="33">
        <f>(C1113*1.16814159292)+(-1)</f>
        <v>-0.41592920353999996</v>
      </c>
      <c r="F1113" s="33">
        <f>(C1113*1.1238938053)+(-4.4)</f>
        <v>-3.8380530973500004</v>
      </c>
      <c r="G1113" s="33">
        <f>(C1113*1.06194690265)+(-5.9)</f>
        <v>-5.3690265486750004</v>
      </c>
      <c r="H1113" s="34">
        <f>(C1113*1.19469026548)+(0)</f>
        <v>0.59734513274000001</v>
      </c>
      <c r="I1113" s="34">
        <f>(C1113*1.16814159292)+(-2)</f>
        <v>-1.41592920354</v>
      </c>
      <c r="J1113" s="34">
        <f>(C1113*1.1238938053)+(-3.9)</f>
        <v>-3.33805309735</v>
      </c>
      <c r="K1113" s="34">
        <f>(C1113*1.07964601769)+(-5.6)</f>
        <v>-5.0601769911550001</v>
      </c>
    </row>
    <row r="1114" spans="1:11" s="21" customFormat="1" ht="19.95" customHeight="1" x14ac:dyDescent="0.25">
      <c r="A1114" s="13" t="str">
        <f>"1017277"</f>
        <v>1017277</v>
      </c>
      <c r="B1114" s="14" t="s">
        <v>1459</v>
      </c>
      <c r="C1114" s="13" t="str">
        <f>"36.4"</f>
        <v>36.4</v>
      </c>
      <c r="D1114" s="32">
        <f>(C1114*1.24778761061)+(0.4)</f>
        <v>45.819469026203997</v>
      </c>
      <c r="E1114" s="33">
        <f>(C1114*1.16814159292)+(-1)</f>
        <v>41.520353982288</v>
      </c>
      <c r="F1114" s="33">
        <f>(C1114*1.1238938053)+(-4.4)</f>
        <v>36.509734512920005</v>
      </c>
      <c r="G1114" s="33">
        <f>(C1114*1.06194690265)+(-5.9)</f>
        <v>32.754867256459995</v>
      </c>
      <c r="H1114" s="34">
        <f>(C1114*1.19469026548)+(0)</f>
        <v>43.486725663472001</v>
      </c>
      <c r="I1114" s="34">
        <f>(C1114*1.16814159292)+(-2)</f>
        <v>40.520353982288</v>
      </c>
      <c r="J1114" s="34">
        <f>(C1114*1.1238938053)+(-3.9)</f>
        <v>37.009734512920005</v>
      </c>
      <c r="K1114" s="34">
        <f>(C1114*1.07964601769)+(-5.6)</f>
        <v>33.699115043915995</v>
      </c>
    </row>
    <row r="1115" spans="1:11" s="21" customFormat="1" ht="19.95" customHeight="1" x14ac:dyDescent="0.25">
      <c r="A1115" s="13" t="str">
        <f>"42799"</f>
        <v>42799</v>
      </c>
      <c r="B1115" s="14" t="s">
        <v>1460</v>
      </c>
      <c r="C1115" s="13" t="str">
        <f>"13.7"</f>
        <v>13.7</v>
      </c>
      <c r="D1115" s="32">
        <f>(C1115*1.24778761061)+(0.4)</f>
        <v>17.494690265357001</v>
      </c>
      <c r="E1115" s="33">
        <f>(C1115*1.16814159292)+(-1)</f>
        <v>15.003539823004001</v>
      </c>
      <c r="F1115" s="33">
        <f>(C1115*1.1238938053)+(-4.4)</f>
        <v>10.997345132609999</v>
      </c>
      <c r="G1115" s="33">
        <f>(C1115*1.06194690265)+(-5.9)</f>
        <v>8.648672566304997</v>
      </c>
      <c r="H1115" s="34">
        <f>(C1115*1.19469026548)+(0)</f>
        <v>16.367256637076</v>
      </c>
      <c r="I1115" s="34">
        <f>(C1115*1.16814159292)+(-2)</f>
        <v>14.003539823004001</v>
      </c>
      <c r="J1115" s="34">
        <f>(C1115*1.1238938053)+(-3.9)</f>
        <v>11.497345132609999</v>
      </c>
      <c r="K1115" s="34">
        <f>(C1115*1.07964601769)+(-5.6)</f>
        <v>9.1911504423529991</v>
      </c>
    </row>
    <row r="1116" spans="1:11" s="21" customFormat="1" ht="19.95" customHeight="1" x14ac:dyDescent="0.25">
      <c r="A1116" s="13" t="str">
        <f>"23537"</f>
        <v>23537</v>
      </c>
      <c r="B1116" s="14" t="s">
        <v>1461</v>
      </c>
      <c r="C1116" s="13" t="str">
        <f>"15.8"</f>
        <v>15.8</v>
      </c>
      <c r="D1116" s="32">
        <f>(C1116*1.24778761061)+(0.4)</f>
        <v>20.115044247638</v>
      </c>
      <c r="E1116" s="33">
        <f>(C1116*1.16814159292)+(-1)</f>
        <v>17.456637168136002</v>
      </c>
      <c r="F1116" s="33">
        <f>(C1116*1.1238938053)+(-4.4)</f>
        <v>13.357522123740003</v>
      </c>
      <c r="G1116" s="33">
        <f>(C1116*1.06194690265)+(-5.9)</f>
        <v>10.87876106187</v>
      </c>
      <c r="H1116" s="34">
        <f>(C1116*1.19469026548)+(0)</f>
        <v>18.876106194584001</v>
      </c>
      <c r="I1116" s="34">
        <f>(C1116*1.16814159292)+(-2)</f>
        <v>16.456637168136002</v>
      </c>
      <c r="J1116" s="34">
        <f>(C1116*1.1238938053)+(-3.9)</f>
        <v>13.857522123740003</v>
      </c>
      <c r="K1116" s="34">
        <f>(C1116*1.07964601769)+(-5.6)</f>
        <v>11.458407079502001</v>
      </c>
    </row>
    <row r="1117" spans="1:11" s="21" customFormat="1" ht="19.95" customHeight="1" x14ac:dyDescent="0.25">
      <c r="A1117" s="13" t="str">
        <f>"1615"</f>
        <v>1615</v>
      </c>
      <c r="B1117" s="14" t="s">
        <v>1462</v>
      </c>
      <c r="C1117" s="13" t="str">
        <f>"21.1"</f>
        <v>21.1</v>
      </c>
      <c r="D1117" s="32">
        <f>(C1117*1.24778761061)+(0.4)</f>
        <v>26.728318583871001</v>
      </c>
      <c r="E1117" s="33">
        <f>(C1117*1.16814159292)+(-1)</f>
        <v>23.647787610612003</v>
      </c>
      <c r="F1117" s="33">
        <f>(C1117*1.1238938053)+(-4.4)</f>
        <v>19.314159291830002</v>
      </c>
      <c r="G1117" s="33">
        <f>(C1117*1.06194690265)+(-5.9)</f>
        <v>16.507079645914999</v>
      </c>
      <c r="H1117" s="34">
        <f>(C1117*1.19469026548)+(0)</f>
        <v>25.207964601628003</v>
      </c>
      <c r="I1117" s="34">
        <f>(C1117*1.16814159292)+(-2)</f>
        <v>22.647787610612003</v>
      </c>
      <c r="J1117" s="34">
        <f>(C1117*1.1238938053)+(-3.9)</f>
        <v>19.814159291830006</v>
      </c>
      <c r="K1117" s="34">
        <f>(C1117*1.07964601769)+(-5.6)</f>
        <v>17.180530973259003</v>
      </c>
    </row>
    <row r="1118" spans="1:11" s="21" customFormat="1" ht="19.95" customHeight="1" x14ac:dyDescent="0.25">
      <c r="A1118" s="13" t="str">
        <f>"16721"</f>
        <v>16721</v>
      </c>
      <c r="B1118" s="14" t="s">
        <v>1463</v>
      </c>
      <c r="C1118" s="13" t="str">
        <f>"18.0"</f>
        <v>18.0</v>
      </c>
      <c r="D1118" s="32">
        <f>(C1118*1.24778761061)+(0.4)</f>
        <v>22.860176990980001</v>
      </c>
      <c r="E1118" s="33">
        <f>(C1118*1.16814159292)+(-1)</f>
        <v>20.026548672560001</v>
      </c>
      <c r="F1118" s="33">
        <f>(C1118*1.1238938053)+(-4.4)</f>
        <v>15.8300884954</v>
      </c>
      <c r="G1118" s="33">
        <f>(C1118*1.06194690265)+(-5.9)</f>
        <v>13.215044247699998</v>
      </c>
      <c r="H1118" s="34">
        <f>(C1118*1.19469026548)+(0)</f>
        <v>21.504424778640001</v>
      </c>
      <c r="I1118" s="34">
        <f>(C1118*1.16814159292)+(-2)</f>
        <v>19.026548672560001</v>
      </c>
      <c r="J1118" s="34">
        <f>(C1118*1.1238938053)+(-3.9)</f>
        <v>16.330088495400002</v>
      </c>
      <c r="K1118" s="34">
        <f>(C1118*1.07964601769)+(-5.6)</f>
        <v>13.833628318419999</v>
      </c>
    </row>
    <row r="1119" spans="1:11" s="21" customFormat="1" ht="19.95" customHeight="1" x14ac:dyDescent="0.25">
      <c r="A1119" s="13" t="str">
        <f>"49049"</f>
        <v>49049</v>
      </c>
      <c r="B1119" s="14" t="s">
        <v>1464</v>
      </c>
      <c r="C1119" s="13" t="str">
        <f>"15.7"</f>
        <v>15.7</v>
      </c>
      <c r="D1119" s="32">
        <f>(C1119*1.24778761061)+(0.4)</f>
        <v>19.990265486576998</v>
      </c>
      <c r="E1119" s="33">
        <f>(C1119*1.16814159292)+(-1)</f>
        <v>17.339823008844</v>
      </c>
      <c r="F1119" s="33">
        <f>(C1119*1.1238938053)+(-4.4)</f>
        <v>13.245132743209998</v>
      </c>
      <c r="G1119" s="33">
        <f>(C1119*1.06194690265)+(-5.9)</f>
        <v>10.772566371604997</v>
      </c>
      <c r="H1119" s="34">
        <f>(C1119*1.19469026548)+(0)</f>
        <v>18.756637168036001</v>
      </c>
      <c r="I1119" s="34">
        <f>(C1119*1.16814159292)+(-2)</f>
        <v>16.339823008844</v>
      </c>
      <c r="J1119" s="34">
        <f>(C1119*1.1238938053)+(-3.9)</f>
        <v>13.745132743209998</v>
      </c>
      <c r="K1119" s="34">
        <f>(C1119*1.07964601769)+(-5.6)</f>
        <v>11.350442477732999</v>
      </c>
    </row>
    <row r="1120" spans="1:11" s="21" customFormat="1" ht="19.95" customHeight="1" x14ac:dyDescent="0.25">
      <c r="A1120" s="13" t="str">
        <f>"16722"</f>
        <v>16722</v>
      </c>
      <c r="B1120" s="14" t="s">
        <v>1465</v>
      </c>
      <c r="C1120" s="13" t="str">
        <f>"12.2"</f>
        <v>12.2</v>
      </c>
      <c r="D1120" s="32">
        <f>(C1120*1.24778761061)+(0.4)</f>
        <v>15.623008849442</v>
      </c>
      <c r="E1120" s="33">
        <f>(C1120*1.16814159292)+(-1)</f>
        <v>13.251327433624001</v>
      </c>
      <c r="F1120" s="33">
        <f>(C1120*1.1238938053)+(-4.4)</f>
        <v>9.3115044246599989</v>
      </c>
      <c r="G1120" s="33">
        <f>(C1120*1.06194690265)+(-5.9)</f>
        <v>7.0557522123299972</v>
      </c>
      <c r="H1120" s="34">
        <f>(C1120*1.19469026548)+(0)</f>
        <v>14.575221238855999</v>
      </c>
      <c r="I1120" s="34">
        <f>(C1120*1.16814159292)+(-2)</f>
        <v>12.251327433624001</v>
      </c>
      <c r="J1120" s="34">
        <f>(C1120*1.1238938053)+(-3.9)</f>
        <v>9.8115044246599989</v>
      </c>
      <c r="K1120" s="34">
        <f>(C1120*1.07964601769)+(-5.6)</f>
        <v>7.5716814158180004</v>
      </c>
    </row>
    <row r="1121" spans="1:11" s="21" customFormat="1" ht="19.95" customHeight="1" x14ac:dyDescent="0.25">
      <c r="A1121" s="13" t="str">
        <f>"40642"</f>
        <v>40642</v>
      </c>
      <c r="B1121" s="14" t="s">
        <v>1466</v>
      </c>
      <c r="C1121" s="13" t="str">
        <f>"25.9"</f>
        <v>25.9</v>
      </c>
      <c r="D1121" s="32">
        <f>(C1121*1.24778761061)+(0.4)</f>
        <v>32.717699114798997</v>
      </c>
      <c r="E1121" s="33">
        <f>(C1121*1.16814159292)+(-1)</f>
        <v>29.254867256628</v>
      </c>
      <c r="F1121" s="33">
        <f>(C1121*1.1238938053)+(-4.4)</f>
        <v>24.70884955727</v>
      </c>
      <c r="G1121" s="33">
        <f>(C1121*1.06194690265)+(-5.9)</f>
        <v>21.604424778634993</v>
      </c>
      <c r="H1121" s="34">
        <f>(C1121*1.19469026548)+(0)</f>
        <v>30.942477875931999</v>
      </c>
      <c r="I1121" s="34">
        <f>(C1121*1.16814159292)+(-2)</f>
        <v>28.254867256628</v>
      </c>
      <c r="J1121" s="34">
        <f>(C1121*1.1238938053)+(-3.9)</f>
        <v>25.20884955727</v>
      </c>
      <c r="K1121" s="34">
        <f>(C1121*1.07964601769)+(-5.6)</f>
        <v>22.362831858170999</v>
      </c>
    </row>
    <row r="1122" spans="1:11" s="21" customFormat="1" ht="19.95" customHeight="1" x14ac:dyDescent="0.25">
      <c r="A1122" s="13" t="str">
        <f>"81040"</f>
        <v>81040</v>
      </c>
      <c r="B1122" s="14" t="s">
        <v>1467</v>
      </c>
      <c r="C1122" s="13" t="str">
        <f>"24.4"</f>
        <v>24.4</v>
      </c>
      <c r="D1122" s="32">
        <f>(C1122*1.24778761061)+(0.4)</f>
        <v>30.846017698883998</v>
      </c>
      <c r="E1122" s="33">
        <f>(C1122*1.16814159292)+(-1)</f>
        <v>27.502654867248001</v>
      </c>
      <c r="F1122" s="33">
        <f>(C1122*1.1238938053)+(-4.4)</f>
        <v>23.02300884932</v>
      </c>
      <c r="G1122" s="33">
        <f>(C1122*1.06194690265)+(-5.9)</f>
        <v>20.011504424659996</v>
      </c>
      <c r="H1122" s="34">
        <f>(C1122*1.19469026548)+(0)</f>
        <v>29.150442477711998</v>
      </c>
      <c r="I1122" s="34">
        <f>(C1122*1.16814159292)+(-2)</f>
        <v>26.502654867248001</v>
      </c>
      <c r="J1122" s="34">
        <f>(C1122*1.1238938053)+(-3.9)</f>
        <v>23.52300884932</v>
      </c>
      <c r="K1122" s="34">
        <f>(C1122*1.07964601769)+(-5.6)</f>
        <v>20.743362831635999</v>
      </c>
    </row>
    <row r="1123" spans="1:11" s="21" customFormat="1" ht="19.95" customHeight="1" x14ac:dyDescent="0.25">
      <c r="A1123" s="13" t="str">
        <f>"75801"</f>
        <v>75801</v>
      </c>
      <c r="B1123" s="14" t="s">
        <v>1468</v>
      </c>
      <c r="C1123" s="13" t="str">
        <f>"24.2"</f>
        <v>24.2</v>
      </c>
      <c r="D1123" s="32">
        <f>(C1123*1.24778761061)+(0.4)</f>
        <v>30.596460176762001</v>
      </c>
      <c r="E1123" s="33">
        <f>(C1123*1.16814159292)+(-1)</f>
        <v>27.269026548664002</v>
      </c>
      <c r="F1123" s="33">
        <f>(C1123*1.1238938053)+(-4.4)</f>
        <v>22.798230088259999</v>
      </c>
      <c r="G1123" s="33">
        <f>(C1123*1.06194690265)+(-5.9)</f>
        <v>19.799115044129998</v>
      </c>
      <c r="H1123" s="34">
        <f>(C1123*1.19469026548)+(0)</f>
        <v>28.911504424615998</v>
      </c>
      <c r="I1123" s="34">
        <f>(C1123*1.16814159292)+(-2)</f>
        <v>26.269026548664002</v>
      </c>
      <c r="J1123" s="34">
        <f>(C1123*1.1238938053)+(-3.9)</f>
        <v>23.298230088260002</v>
      </c>
      <c r="K1123" s="34">
        <f>(C1123*1.07964601769)+(-5.6)</f>
        <v>20.527433628098002</v>
      </c>
    </row>
    <row r="1124" spans="1:11" s="21" customFormat="1" ht="19.95" customHeight="1" x14ac:dyDescent="0.25">
      <c r="A1124" s="13" t="str">
        <f>"75470"</f>
        <v>75470</v>
      </c>
      <c r="B1124" s="14" t="s">
        <v>1469</v>
      </c>
      <c r="C1124" s="13" t="str">
        <f>"12.4"</f>
        <v>12.4</v>
      </c>
      <c r="D1124" s="32">
        <f>(C1124*1.24778761061)+(0.4)</f>
        <v>15.872566371564002</v>
      </c>
      <c r="E1124" s="33">
        <f>(C1124*1.16814159292)+(-1)</f>
        <v>13.484955752208002</v>
      </c>
      <c r="F1124" s="33">
        <f>(C1124*1.1238938053)+(-4.4)</f>
        <v>9.5362831857200003</v>
      </c>
      <c r="G1124" s="33">
        <f>(C1124*1.06194690265)+(-5.9)</f>
        <v>7.2681415928599993</v>
      </c>
      <c r="H1124" s="34">
        <f>(C1124*1.19469026548)+(0)</f>
        <v>14.814159291952</v>
      </c>
      <c r="I1124" s="34">
        <f>(C1124*1.16814159292)+(-2)</f>
        <v>12.484955752208002</v>
      </c>
      <c r="J1124" s="34">
        <f>(C1124*1.1238938053)+(-3.9)</f>
        <v>10.03628318572</v>
      </c>
      <c r="K1124" s="34">
        <f>(C1124*1.07964601769)+(-5.6)</f>
        <v>7.7876106193560002</v>
      </c>
    </row>
    <row r="1125" spans="1:11" s="21" customFormat="1" ht="19.95" customHeight="1" x14ac:dyDescent="0.25">
      <c r="A1125" s="13" t="str">
        <f>"1005162"</f>
        <v>1005162</v>
      </c>
      <c r="B1125" s="14" t="s">
        <v>1470</v>
      </c>
      <c r="C1125" s="13" t="str">
        <f>"13.1"</f>
        <v>13.1</v>
      </c>
      <c r="D1125" s="32">
        <f>(C1125*1.24778761061)+(0.4)</f>
        <v>16.746017698991</v>
      </c>
      <c r="E1125" s="33">
        <f>(C1125*1.16814159292)+(-1)</f>
        <v>14.302654867252</v>
      </c>
      <c r="F1125" s="33">
        <f>(C1125*1.1238938053)+(-4.4)</f>
        <v>10.32300884943</v>
      </c>
      <c r="G1125" s="33">
        <f>(C1125*1.06194690265)+(-5.9)</f>
        <v>8.0115044247149978</v>
      </c>
      <c r="H1125" s="34">
        <f>(C1125*1.19469026548)+(0)</f>
        <v>15.650442477787999</v>
      </c>
      <c r="I1125" s="34">
        <f>(C1125*1.16814159292)+(-2)</f>
        <v>13.302654867252</v>
      </c>
      <c r="J1125" s="34">
        <f>(C1125*1.1238938053)+(-3.9)</f>
        <v>10.82300884943</v>
      </c>
      <c r="K1125" s="34">
        <f>(C1125*1.07964601769)+(-5.6)</f>
        <v>8.5433628317389996</v>
      </c>
    </row>
    <row r="1126" spans="1:11" s="21" customFormat="1" ht="19.95" customHeight="1" x14ac:dyDescent="0.25">
      <c r="A1126" s="13" t="str">
        <f>"1006443"</f>
        <v>1006443</v>
      </c>
      <c r="B1126" s="14" t="s">
        <v>1471</v>
      </c>
      <c r="C1126" s="13" t="str">
        <f>"26.8"</f>
        <v>26.8</v>
      </c>
      <c r="D1126" s="32">
        <f>(C1126*1.24778761061)+(0.4)</f>
        <v>33.840707964347999</v>
      </c>
      <c r="E1126" s="33">
        <f>(C1126*1.16814159292)+(-1)</f>
        <v>30.306194690256003</v>
      </c>
      <c r="F1126" s="33">
        <f>(C1126*1.1238938053)+(-4.4)</f>
        <v>25.720353982040002</v>
      </c>
      <c r="G1126" s="33">
        <f>(C1126*1.06194690265)+(-5.9)</f>
        <v>22.560176991020001</v>
      </c>
      <c r="H1126" s="34">
        <f>(C1126*1.19469026548)+(0)</f>
        <v>32.017699114864001</v>
      </c>
      <c r="I1126" s="34">
        <f>(C1126*1.16814159292)+(-2)</f>
        <v>29.306194690256003</v>
      </c>
      <c r="J1126" s="34">
        <f>(C1126*1.1238938053)+(-3.9)</f>
        <v>26.220353982040002</v>
      </c>
      <c r="K1126" s="34">
        <f>(C1126*1.07964601769)+(-5.6)</f>
        <v>23.334513274092004</v>
      </c>
    </row>
    <row r="1127" spans="1:11" s="21" customFormat="1" ht="19.95" customHeight="1" x14ac:dyDescent="0.25">
      <c r="A1127" s="13" t="str">
        <f>"16739"</f>
        <v>16739</v>
      </c>
      <c r="B1127" s="14" t="s">
        <v>1472</v>
      </c>
      <c r="C1127" s="13" t="str">
        <f>"32.3"</f>
        <v>32.3</v>
      </c>
      <c r="D1127" s="32">
        <f>(C1127*1.24778761061)+(0.4)</f>
        <v>40.703539822703</v>
      </c>
      <c r="E1127" s="33">
        <f>(C1127*1.16814159292)+(-1)</f>
        <v>36.730973451315997</v>
      </c>
      <c r="F1127" s="33">
        <f>(C1127*1.1238938053)+(-4.4)</f>
        <v>31.901769911190001</v>
      </c>
      <c r="G1127" s="33">
        <f>(C1127*1.06194690265)+(-5.9)</f>
        <v>28.400884955594996</v>
      </c>
      <c r="H1127" s="34">
        <f>(C1127*1.19469026548)+(0)</f>
        <v>38.588495575003996</v>
      </c>
      <c r="I1127" s="34">
        <f>(C1127*1.16814159292)+(-2)</f>
        <v>35.730973451315997</v>
      </c>
      <c r="J1127" s="34">
        <f>(C1127*1.1238938053)+(-3.9)</f>
        <v>32.401769911190001</v>
      </c>
      <c r="K1127" s="34">
        <f>(C1127*1.07964601769)+(-5.6)</f>
        <v>29.272566371386993</v>
      </c>
    </row>
    <row r="1128" spans="1:11" s="21" customFormat="1" ht="19.95" customHeight="1" x14ac:dyDescent="0.25">
      <c r="A1128" s="13" t="str">
        <f>"16740"</f>
        <v>16740</v>
      </c>
      <c r="B1128" s="14" t="s">
        <v>1473</v>
      </c>
      <c r="C1128" s="13" t="str">
        <f>"9.7"</f>
        <v>9.7</v>
      </c>
      <c r="D1128" s="32">
        <f>(C1128*1.24778761061)+(0.4)</f>
        <v>12.503539822917</v>
      </c>
      <c r="E1128" s="33">
        <f>(C1128*1.16814159292)+(-1)</f>
        <v>10.330973451324001</v>
      </c>
      <c r="F1128" s="33">
        <f>(C1128*1.1238938053)+(-4.4)</f>
        <v>6.5017699114099994</v>
      </c>
      <c r="G1128" s="33">
        <f>(C1128*1.06194690265)+(-5.9)</f>
        <v>4.4008849557049974</v>
      </c>
      <c r="H1128" s="34">
        <f>(C1128*1.19469026548)+(0)</f>
        <v>11.588495575155999</v>
      </c>
      <c r="I1128" s="34">
        <f>(C1128*1.16814159292)+(-2)</f>
        <v>9.3309734513240006</v>
      </c>
      <c r="J1128" s="34">
        <f>(C1128*1.1238938053)+(-3.9)</f>
        <v>7.0017699114099994</v>
      </c>
      <c r="K1128" s="34">
        <f>(C1128*1.07964601769)+(-5.6)</f>
        <v>4.872566371592999</v>
      </c>
    </row>
    <row r="1129" spans="1:11" s="21" customFormat="1" ht="19.95" customHeight="1" x14ac:dyDescent="0.25">
      <c r="A1129" s="13" t="str">
        <f>"16742"</f>
        <v>16742</v>
      </c>
      <c r="B1129" s="14" t="s">
        <v>1474</v>
      </c>
      <c r="C1129" s="13" t="str">
        <f>"23.1"</f>
        <v>23.1</v>
      </c>
      <c r="D1129" s="32">
        <f>(C1129*1.24778761061)+(0.4)</f>
        <v>29.223893805091002</v>
      </c>
      <c r="E1129" s="33">
        <f>(C1129*1.16814159292)+(-1)</f>
        <v>25.984070796452002</v>
      </c>
      <c r="F1129" s="33">
        <f>(C1129*1.1238938053)+(-4.4)</f>
        <v>21.561946902430002</v>
      </c>
      <c r="G1129" s="33">
        <f>(C1129*1.06194690265)+(-5.9)</f>
        <v>18.630973451214999</v>
      </c>
      <c r="H1129" s="34">
        <f>(C1129*1.19469026548)+(0)</f>
        <v>27.597345132588003</v>
      </c>
      <c r="I1129" s="34">
        <f>(C1129*1.16814159292)+(-2)</f>
        <v>24.984070796452002</v>
      </c>
      <c r="J1129" s="34">
        <f>(C1129*1.1238938053)+(-3.9)</f>
        <v>22.061946902430005</v>
      </c>
      <c r="K1129" s="34">
        <f>(C1129*1.07964601769)+(-5.6)</f>
        <v>19.339823008639002</v>
      </c>
    </row>
    <row r="1130" spans="1:11" s="21" customFormat="1" ht="19.95" customHeight="1" x14ac:dyDescent="0.25">
      <c r="A1130" s="13" t="str">
        <f>"9732"</f>
        <v>9732</v>
      </c>
      <c r="B1130" s="14" t="s">
        <v>1475</v>
      </c>
      <c r="C1130" s="13" t="str">
        <f>"11.2"</f>
        <v>11.2</v>
      </c>
      <c r="D1130" s="32">
        <f>(C1130*1.24778761061)+(0.4)</f>
        <v>14.375221238832001</v>
      </c>
      <c r="E1130" s="33">
        <f>(C1130*1.16814159292)+(-1)</f>
        <v>12.083185840704001</v>
      </c>
      <c r="F1130" s="33">
        <f>(C1130*1.1238938053)+(-4.4)</f>
        <v>8.1876106193599991</v>
      </c>
      <c r="G1130" s="33">
        <f>(C1130*1.06194690265)+(-5.9)</f>
        <v>5.9938053096799973</v>
      </c>
      <c r="H1130" s="34">
        <f>(C1130*1.19469026548)+(0)</f>
        <v>13.380530973375999</v>
      </c>
      <c r="I1130" s="34">
        <f>(C1130*1.16814159292)+(-2)</f>
        <v>11.083185840704001</v>
      </c>
      <c r="J1130" s="34">
        <f>(C1130*1.1238938053)+(-3.9)</f>
        <v>8.6876106193599991</v>
      </c>
      <c r="K1130" s="34">
        <f>(C1130*1.07964601769)+(-5.6)</f>
        <v>6.4920353981279995</v>
      </c>
    </row>
    <row r="1131" spans="1:11" s="21" customFormat="1" ht="19.95" customHeight="1" x14ac:dyDescent="0.25">
      <c r="A1131" s="13" t="str">
        <f>"1013899"</f>
        <v>1013899</v>
      </c>
      <c r="B1131" s="14" t="s">
        <v>1476</v>
      </c>
      <c r="C1131" s="13" t="str">
        <f>"32.8"</f>
        <v>32.8</v>
      </c>
      <c r="D1131" s="32">
        <f>(C1131*1.24778761061)+(0.4)</f>
        <v>41.327433628007995</v>
      </c>
      <c r="E1131" s="33">
        <f>(C1131*1.16814159292)+(-1)</f>
        <v>37.315044247776001</v>
      </c>
      <c r="F1131" s="33">
        <f>(C1131*1.1238938053)+(-4.4)</f>
        <v>32.463716813840001</v>
      </c>
      <c r="G1131" s="33">
        <f>(C1131*1.06194690265)+(-5.9)</f>
        <v>28.931858406919993</v>
      </c>
      <c r="H1131" s="34">
        <f>(C1131*1.19469026548)+(0)</f>
        <v>39.185840707743999</v>
      </c>
      <c r="I1131" s="34">
        <f>(C1131*1.16814159292)+(-2)</f>
        <v>36.315044247776001</v>
      </c>
      <c r="J1131" s="34">
        <f>(C1131*1.1238938053)+(-3.9)</f>
        <v>32.963716813840001</v>
      </c>
      <c r="K1131" s="34">
        <f>(C1131*1.07964601769)+(-5.6)</f>
        <v>29.812389380231998</v>
      </c>
    </row>
    <row r="1132" spans="1:11" s="21" customFormat="1" ht="19.95" customHeight="1" x14ac:dyDescent="0.25">
      <c r="A1132" s="13" t="str">
        <f>"16744"</f>
        <v>16744</v>
      </c>
      <c r="B1132" s="14" t="s">
        <v>1477</v>
      </c>
      <c r="C1132" s="13" t="str">
        <f>"19.1"</f>
        <v>19.1</v>
      </c>
      <c r="D1132" s="32">
        <f>(C1132*1.24778761061)+(0.4)</f>
        <v>24.232743362651004</v>
      </c>
      <c r="E1132" s="33">
        <f>(C1132*1.16814159292)+(-1)</f>
        <v>21.311504424772004</v>
      </c>
      <c r="F1132" s="33">
        <f>(C1132*1.1238938053)+(-4.4)</f>
        <v>17.066371681230002</v>
      </c>
      <c r="G1132" s="33">
        <f>(C1132*1.06194690265)+(-5.9)</f>
        <v>14.383185840615001</v>
      </c>
      <c r="H1132" s="34">
        <f>(C1132*1.19469026548)+(0)</f>
        <v>22.818584070668003</v>
      </c>
      <c r="I1132" s="34">
        <f>(C1132*1.16814159292)+(-2)</f>
        <v>20.311504424772004</v>
      </c>
      <c r="J1132" s="34">
        <f>(C1132*1.1238938053)+(-3.9)</f>
        <v>17.566371681230002</v>
      </c>
      <c r="K1132" s="34">
        <f>(C1132*1.07964601769)+(-5.6)</f>
        <v>15.021238937879003</v>
      </c>
    </row>
    <row r="1133" spans="1:11" s="21" customFormat="1" ht="19.95" customHeight="1" x14ac:dyDescent="0.25">
      <c r="A1133" s="13" t="str">
        <f>"16746"</f>
        <v>16746</v>
      </c>
      <c r="B1133" s="14" t="s">
        <v>1478</v>
      </c>
      <c r="C1133" s="13" t="str">
        <f>"24.0000"</f>
        <v>24.0000</v>
      </c>
      <c r="D1133" s="32">
        <f>(C1133*1.24778761061)+(0.4)</f>
        <v>30.346902654640001</v>
      </c>
      <c r="E1133" s="33">
        <f>(C1133*1.16814159292)+(-1)</f>
        <v>27.035398230080002</v>
      </c>
      <c r="F1133" s="33">
        <f>(C1133*1.1238938053)+(-4.4)</f>
        <v>22.573451327200004</v>
      </c>
      <c r="G1133" s="33">
        <f>(C1133*1.06194690265)+(-5.9)</f>
        <v>19.586725663599999</v>
      </c>
      <c r="H1133" s="34">
        <f>(C1133*1.19469026548)+(0)</f>
        <v>28.672566371519999</v>
      </c>
      <c r="I1133" s="34">
        <f>(C1133*1.16814159292)+(-2)</f>
        <v>26.035398230080002</v>
      </c>
      <c r="J1133" s="34">
        <f>(C1133*1.1238938053)+(-3.9)</f>
        <v>23.073451327200004</v>
      </c>
      <c r="K1133" s="34">
        <f>(C1133*1.07964601769)+(-5.6)</f>
        <v>20.311504424559999</v>
      </c>
    </row>
    <row r="1134" spans="1:11" s="21" customFormat="1" ht="19.95" customHeight="1" x14ac:dyDescent="0.25">
      <c r="A1134" s="13" t="str">
        <f>"38524"</f>
        <v>38524</v>
      </c>
      <c r="B1134" s="14" t="s">
        <v>1479</v>
      </c>
      <c r="C1134" s="13" t="str">
        <f>"17.2"</f>
        <v>17.2</v>
      </c>
      <c r="D1134" s="32">
        <f>(C1134*1.24778761061)+(0.4)</f>
        <v>21.861946902492001</v>
      </c>
      <c r="E1134" s="33">
        <f>(C1134*1.16814159292)+(-1)</f>
        <v>19.092035398224002</v>
      </c>
      <c r="F1134" s="33">
        <f>(C1134*1.1238938053)+(-4.4)</f>
        <v>14.930973451159998</v>
      </c>
      <c r="G1134" s="33">
        <f>(C1134*1.06194690265)+(-5.9)</f>
        <v>12.365486725579997</v>
      </c>
      <c r="H1134" s="34">
        <f>(C1134*1.19469026548)+(0)</f>
        <v>20.548672566255998</v>
      </c>
      <c r="I1134" s="34">
        <f>(C1134*1.16814159292)+(-2)</f>
        <v>18.092035398224002</v>
      </c>
      <c r="J1134" s="34">
        <f>(C1134*1.1238938053)+(-3.9)</f>
        <v>15.430973451159998</v>
      </c>
      <c r="K1134" s="34">
        <f>(C1134*1.07964601769)+(-5.6)</f>
        <v>12.969911504268</v>
      </c>
    </row>
    <row r="1135" spans="1:11" s="21" customFormat="1" ht="19.95" customHeight="1" x14ac:dyDescent="0.25">
      <c r="A1135" s="13" t="str">
        <f>"17084"</f>
        <v>17084</v>
      </c>
      <c r="B1135" s="14" t="s">
        <v>1480</v>
      </c>
      <c r="C1135" s="13" t="str">
        <f>"27.1"</f>
        <v>27.1</v>
      </c>
      <c r="D1135" s="32">
        <f>(C1135*1.24778761061)+(0.4)</f>
        <v>34.215044247531004</v>
      </c>
      <c r="E1135" s="33">
        <f>(C1135*1.16814159292)+(-1)</f>
        <v>30.656637168132004</v>
      </c>
      <c r="F1135" s="33">
        <f>(C1135*1.1238938053)+(-4.4)</f>
        <v>26.057522123630001</v>
      </c>
      <c r="G1135" s="33">
        <f>(C1135*1.06194690265)+(-5.9)</f>
        <v>22.878761061814998</v>
      </c>
      <c r="H1135" s="34">
        <f>(C1135*1.19469026548)+(0)</f>
        <v>32.376106194508004</v>
      </c>
      <c r="I1135" s="34">
        <f>(C1135*1.16814159292)+(-2)</f>
        <v>29.656637168132004</v>
      </c>
      <c r="J1135" s="34">
        <f>(C1135*1.1238938053)+(-3.9)</f>
        <v>26.557522123630005</v>
      </c>
      <c r="K1135" s="34">
        <f>(C1135*1.07964601769)+(-5.6)</f>
        <v>23.658407079399005</v>
      </c>
    </row>
    <row r="1136" spans="1:11" s="21" customFormat="1" ht="19.95" customHeight="1" x14ac:dyDescent="0.25">
      <c r="A1136" s="13" t="str">
        <f>"16749"</f>
        <v>16749</v>
      </c>
      <c r="B1136" s="14" t="s">
        <v>1481</v>
      </c>
      <c r="C1136" s="13" t="str">
        <f>"20.9"</f>
        <v>20.9</v>
      </c>
      <c r="D1136" s="32">
        <f>(C1136*1.24778761061)+(0.4)</f>
        <v>26.478761061748997</v>
      </c>
      <c r="E1136" s="33">
        <f>(C1136*1.16814159292)+(-1)</f>
        <v>23.414159292028</v>
      </c>
      <c r="F1136" s="33">
        <f>(C1136*1.1238938053)+(-4.4)</f>
        <v>19.089380530770001</v>
      </c>
      <c r="G1136" s="33">
        <f>(C1136*1.06194690265)+(-5.9)</f>
        <v>16.294690265384993</v>
      </c>
      <c r="H1136" s="34">
        <f>(C1136*1.19469026548)+(0)</f>
        <v>24.969026548532</v>
      </c>
      <c r="I1136" s="34">
        <f>(C1136*1.16814159292)+(-2)</f>
        <v>22.414159292028</v>
      </c>
      <c r="J1136" s="34">
        <f>(C1136*1.1238938053)+(-3.9)</f>
        <v>19.589380530770001</v>
      </c>
      <c r="K1136" s="34">
        <f>(C1136*1.07964601769)+(-5.6)</f>
        <v>16.964601769721</v>
      </c>
    </row>
    <row r="1137" spans="1:11" s="21" customFormat="1" ht="19.95" customHeight="1" x14ac:dyDescent="0.25">
      <c r="A1137" s="13" t="str">
        <f>"16750"</f>
        <v>16750</v>
      </c>
      <c r="B1137" s="14" t="s">
        <v>1482</v>
      </c>
      <c r="C1137" s="13" t="str">
        <f>"23.1"</f>
        <v>23.1</v>
      </c>
      <c r="D1137" s="32">
        <f>(C1137*1.24778761061)+(0.4)</f>
        <v>29.223893805091002</v>
      </c>
      <c r="E1137" s="33">
        <f>(C1137*1.16814159292)+(-1)</f>
        <v>25.984070796452002</v>
      </c>
      <c r="F1137" s="33">
        <f>(C1137*1.1238938053)+(-4.4)</f>
        <v>21.561946902430002</v>
      </c>
      <c r="G1137" s="33">
        <f>(C1137*1.06194690265)+(-5.9)</f>
        <v>18.630973451214999</v>
      </c>
      <c r="H1137" s="34">
        <f>(C1137*1.19469026548)+(0)</f>
        <v>27.597345132588003</v>
      </c>
      <c r="I1137" s="34">
        <f>(C1137*1.16814159292)+(-2)</f>
        <v>24.984070796452002</v>
      </c>
      <c r="J1137" s="34">
        <f>(C1137*1.1238938053)+(-3.9)</f>
        <v>22.061946902430005</v>
      </c>
      <c r="K1137" s="34">
        <f>(C1137*1.07964601769)+(-5.6)</f>
        <v>19.339823008639002</v>
      </c>
    </row>
    <row r="1138" spans="1:11" s="21" customFormat="1" ht="19.95" customHeight="1" x14ac:dyDescent="0.25">
      <c r="A1138" s="13" t="str">
        <f>"20252"</f>
        <v>20252</v>
      </c>
      <c r="B1138" s="14" t="s">
        <v>1483</v>
      </c>
      <c r="C1138" s="13" t="str">
        <f>"17.5"</f>
        <v>17.5</v>
      </c>
      <c r="D1138" s="32">
        <f>(C1138*1.24778761061)+(0.4)</f>
        <v>22.236283185674999</v>
      </c>
      <c r="E1138" s="33">
        <f>(C1138*1.16814159292)+(-1)</f>
        <v>19.4424778761</v>
      </c>
      <c r="F1138" s="33">
        <f>(C1138*1.1238938053)+(-4.4)</f>
        <v>15.26814159275</v>
      </c>
      <c r="G1138" s="33">
        <f>(C1138*1.06194690265)+(-5.9)</f>
        <v>12.684070796374998</v>
      </c>
      <c r="H1138" s="34">
        <f>(C1138*1.19469026548)+(0)</f>
        <v>20.907079645900001</v>
      </c>
      <c r="I1138" s="34">
        <f>(C1138*1.16814159292)+(-2)</f>
        <v>18.4424778761</v>
      </c>
      <c r="J1138" s="34">
        <f>(C1138*1.1238938053)+(-3.9)</f>
        <v>15.76814159275</v>
      </c>
      <c r="K1138" s="34">
        <f>(C1138*1.07964601769)+(-5.6)</f>
        <v>13.293805309575001</v>
      </c>
    </row>
    <row r="1139" spans="1:11" s="21" customFormat="1" ht="19.95" customHeight="1" x14ac:dyDescent="0.25">
      <c r="A1139" s="13" t="str">
        <f>"47738"</f>
        <v>47738</v>
      </c>
      <c r="B1139" s="14" t="s">
        <v>1484</v>
      </c>
      <c r="C1139" s="13" t="str">
        <f>"+3.6"</f>
        <v>+3.6</v>
      </c>
      <c r="D1139" s="32">
        <f>(C1139*1.24778761061)+(0.4)</f>
        <v>4.8920353981960005</v>
      </c>
      <c r="E1139" s="33">
        <f>(C1139*1.16814159292)+(-1)</f>
        <v>3.2053097345120003</v>
      </c>
      <c r="F1139" s="33">
        <f>(C1139*1.1238938053)+(-4.4)</f>
        <v>-0.35398230092000027</v>
      </c>
      <c r="G1139" s="33">
        <f>(C1139*1.06194690265)+(-5.9)</f>
        <v>-2.0769911504600005</v>
      </c>
      <c r="H1139" s="34">
        <f>(C1139*1.19469026548)+(0)</f>
        <v>4.3008849557279998</v>
      </c>
      <c r="I1139" s="34">
        <f>(C1139*1.16814159292)+(-2)</f>
        <v>2.2053097345120003</v>
      </c>
      <c r="J1139" s="34">
        <f>(C1139*1.1238938053)+(-3.9)</f>
        <v>0.14601769908000017</v>
      </c>
      <c r="K1139" s="34">
        <f>(C1139*1.07964601769)+(-5.6)</f>
        <v>-1.7132743363159997</v>
      </c>
    </row>
    <row r="1140" spans="1:11" s="21" customFormat="1" ht="19.95" customHeight="1" x14ac:dyDescent="0.25">
      <c r="A1140" s="13" t="str">
        <f>"47737"</f>
        <v>47737</v>
      </c>
      <c r="B1140" s="14" t="s">
        <v>1485</v>
      </c>
      <c r="C1140" s="13" t="str">
        <f>"7.4"</f>
        <v>7.4</v>
      </c>
      <c r="D1140" s="32">
        <f>(C1140*1.24778761061)+(0.4)</f>
        <v>9.6336283185140008</v>
      </c>
      <c r="E1140" s="33">
        <f>(C1140*1.16814159292)+(-1)</f>
        <v>7.6442477876080002</v>
      </c>
      <c r="F1140" s="33">
        <f>(C1140*1.1238938053)+(-4.4)</f>
        <v>3.9168141592200012</v>
      </c>
      <c r="G1140" s="33">
        <f>(C1140*1.06194690265)+(-5.9)</f>
        <v>1.9584070796099997</v>
      </c>
      <c r="H1140" s="34">
        <f>(C1140*1.19469026548)+(0)</f>
        <v>8.840707964552001</v>
      </c>
      <c r="I1140" s="34">
        <f>(C1140*1.16814159292)+(-2)</f>
        <v>6.6442477876080002</v>
      </c>
      <c r="J1140" s="34">
        <f>(C1140*1.1238938053)+(-3.9)</f>
        <v>4.4168141592200012</v>
      </c>
      <c r="K1140" s="34">
        <f>(C1140*1.07964601769)+(-5.6)</f>
        <v>2.389380530906001</v>
      </c>
    </row>
    <row r="1141" spans="1:11" s="21" customFormat="1" ht="19.95" customHeight="1" x14ac:dyDescent="0.25">
      <c r="A1141" s="13" t="str">
        <f>"16756"</f>
        <v>16756</v>
      </c>
      <c r="B1141" s="14" t="s">
        <v>1486</v>
      </c>
      <c r="C1141" s="13" t="str">
        <f>"24.1"</f>
        <v>24.1</v>
      </c>
      <c r="D1141" s="32">
        <f>(C1141*1.24778761061)+(0.4)</f>
        <v>30.471681415701003</v>
      </c>
      <c r="E1141" s="33">
        <f>(C1141*1.16814159292)+(-1)</f>
        <v>27.152212389372004</v>
      </c>
      <c r="F1141" s="33">
        <f>(C1141*1.1238938053)+(-4.4)</f>
        <v>22.685840707730001</v>
      </c>
      <c r="G1141" s="33">
        <f>(C1141*1.06194690265)+(-5.9)</f>
        <v>19.692920353864999</v>
      </c>
      <c r="H1141" s="34">
        <f>(C1141*1.19469026548)+(0)</f>
        <v>28.792035398068002</v>
      </c>
      <c r="I1141" s="34">
        <f>(C1141*1.16814159292)+(-2)</f>
        <v>26.152212389372004</v>
      </c>
      <c r="J1141" s="34">
        <f>(C1141*1.1238938053)+(-3.9)</f>
        <v>23.185840707730005</v>
      </c>
      <c r="K1141" s="34">
        <f>(C1141*1.07964601769)+(-5.6)</f>
        <v>20.419469026329004</v>
      </c>
    </row>
    <row r="1142" spans="1:11" s="21" customFormat="1" ht="19.95" customHeight="1" x14ac:dyDescent="0.25">
      <c r="A1142" s="13" t="str">
        <f>"3493"</f>
        <v>3493</v>
      </c>
      <c r="B1142" s="14" t="s">
        <v>1487</v>
      </c>
      <c r="C1142" s="13" t="str">
        <f>"9.5"</f>
        <v>9.5</v>
      </c>
      <c r="D1142" s="32">
        <f>(C1142*1.24778761061)+(0.4)</f>
        <v>12.253982300795002</v>
      </c>
      <c r="E1142" s="33">
        <f>(C1142*1.16814159292)+(-1)</f>
        <v>10.097345132740001</v>
      </c>
      <c r="F1142" s="33">
        <f>(C1142*1.1238938053)+(-4.4)</f>
        <v>6.2769911503499998</v>
      </c>
      <c r="G1142" s="33">
        <f>(C1142*1.06194690265)+(-5.9)</f>
        <v>4.1884955751749988</v>
      </c>
      <c r="H1142" s="34">
        <f>(C1142*1.19469026548)+(0)</f>
        <v>11.34955752206</v>
      </c>
      <c r="I1142" s="34">
        <f>(C1142*1.16814159292)+(-2)</f>
        <v>9.097345132740001</v>
      </c>
      <c r="J1142" s="34">
        <f>(C1142*1.1238938053)+(-3.9)</f>
        <v>6.7769911503499998</v>
      </c>
      <c r="K1142" s="34">
        <f>(C1142*1.07964601769)+(-5.6)</f>
        <v>4.6566371680550009</v>
      </c>
    </row>
    <row r="1143" spans="1:11" s="21" customFormat="1" ht="19.95" customHeight="1" x14ac:dyDescent="0.25">
      <c r="A1143" s="13" t="str">
        <f>"47900"</f>
        <v>47900</v>
      </c>
      <c r="B1143" s="14" t="s">
        <v>1488</v>
      </c>
      <c r="C1143" s="13" t="str">
        <f>"0.8"</f>
        <v>0.8</v>
      </c>
      <c r="D1143" s="32">
        <f>(C1143*1.24778761061)+(0.4)</f>
        <v>1.3982300884880001</v>
      </c>
      <c r="E1143" s="33">
        <f>(C1143*1.16814159292)+(-1)</f>
        <v>-6.5486725663999934E-2</v>
      </c>
      <c r="F1143" s="33">
        <f>(C1143*1.1238938053)+(-4.4)</f>
        <v>-3.5008849557600001</v>
      </c>
      <c r="G1143" s="33">
        <f>(C1143*1.06194690265)+(-5.9)</f>
        <v>-5.0504424778800008</v>
      </c>
      <c r="H1143" s="34">
        <f>(C1143*1.19469026548)+(0)</f>
        <v>0.9557522123840001</v>
      </c>
      <c r="I1143" s="34">
        <f>(C1143*1.16814159292)+(-2)</f>
        <v>-1.0654867256639999</v>
      </c>
      <c r="J1143" s="34">
        <f>(C1143*1.1238938053)+(-3.9)</f>
        <v>-3.0008849557599997</v>
      </c>
      <c r="K1143" s="34">
        <f>(C1143*1.07964601769)+(-5.6)</f>
        <v>-4.7362831858479995</v>
      </c>
    </row>
    <row r="1144" spans="1:11" s="21" customFormat="1" ht="19.95" customHeight="1" x14ac:dyDescent="0.25">
      <c r="A1144" s="13" t="str">
        <f>"16759"</f>
        <v>16759</v>
      </c>
      <c r="B1144" s="14" t="s">
        <v>1489</v>
      </c>
      <c r="C1144" s="13" t="str">
        <f>"16.1"</f>
        <v>16.1</v>
      </c>
      <c r="D1144" s="32">
        <f>(C1144*1.24778761061)+(0.4)</f>
        <v>20.489380530821002</v>
      </c>
      <c r="E1144" s="33">
        <f>(C1144*1.16814159292)+(-1)</f>
        <v>17.807079646012003</v>
      </c>
      <c r="F1144" s="33">
        <f>(C1144*1.1238938053)+(-4.4)</f>
        <v>13.694690265330001</v>
      </c>
      <c r="G1144" s="33">
        <f>(C1144*1.06194690265)+(-5.9)</f>
        <v>11.197345132665001</v>
      </c>
      <c r="H1144" s="34">
        <f>(C1144*1.19469026548)+(0)</f>
        <v>19.234513274228004</v>
      </c>
      <c r="I1144" s="34">
        <f>(C1144*1.16814159292)+(-2)</f>
        <v>16.807079646012003</v>
      </c>
      <c r="J1144" s="34">
        <f>(C1144*1.1238938053)+(-3.9)</f>
        <v>14.194690265330001</v>
      </c>
      <c r="K1144" s="34">
        <f>(C1144*1.07964601769)+(-5.6)</f>
        <v>11.782300884809002</v>
      </c>
    </row>
    <row r="1145" spans="1:11" s="21" customFormat="1" ht="19.95" customHeight="1" x14ac:dyDescent="0.25">
      <c r="A1145" s="13" t="str">
        <f>"16761"</f>
        <v>16761</v>
      </c>
      <c r="B1145" s="14" t="s">
        <v>1490</v>
      </c>
      <c r="C1145" s="13" t="str">
        <f>"24.7"</f>
        <v>24.7</v>
      </c>
      <c r="D1145" s="32">
        <f>(C1145*1.24778761061)+(0.4)</f>
        <v>31.220353982067</v>
      </c>
      <c r="E1145" s="33">
        <f>(C1145*1.16814159292)+(-1)</f>
        <v>27.853097345124002</v>
      </c>
      <c r="F1145" s="33">
        <f>(C1145*1.1238938053)+(-4.4)</f>
        <v>23.360176990909999</v>
      </c>
      <c r="G1145" s="33">
        <f>(C1145*1.06194690265)+(-5.9)</f>
        <v>20.330088495454994</v>
      </c>
      <c r="H1145" s="34">
        <f>(C1145*1.19469026548)+(0)</f>
        <v>29.508849557356001</v>
      </c>
      <c r="I1145" s="34">
        <f>(C1145*1.16814159292)+(-2)</f>
        <v>26.853097345124002</v>
      </c>
      <c r="J1145" s="34">
        <f>(C1145*1.1238938053)+(-3.9)</f>
        <v>23.860176990910002</v>
      </c>
      <c r="K1145" s="34">
        <f>(C1145*1.07964601769)+(-5.6)</f>
        <v>21.067256636943</v>
      </c>
    </row>
    <row r="1146" spans="1:11" s="21" customFormat="1" ht="19.95" customHeight="1" x14ac:dyDescent="0.25">
      <c r="A1146" s="13" t="str">
        <f>"75002"</f>
        <v>75002</v>
      </c>
      <c r="B1146" s="14" t="s">
        <v>1491</v>
      </c>
      <c r="C1146" s="13" t="str">
        <f>"22.0"</f>
        <v>22.0</v>
      </c>
      <c r="D1146" s="32">
        <f>(C1146*1.24778761061)+(0.4)</f>
        <v>27.85132743342</v>
      </c>
      <c r="E1146" s="33">
        <f>(C1146*1.16814159292)+(-1)</f>
        <v>24.699115044240003</v>
      </c>
      <c r="F1146" s="33">
        <f>(C1146*1.1238938053)+(-4.4)</f>
        <v>20.325663716599998</v>
      </c>
      <c r="G1146" s="33">
        <f>(C1146*1.06194690265)+(-5.9)</f>
        <v>17.4628318583</v>
      </c>
      <c r="H1146" s="34">
        <f>(C1146*1.19469026548)+(0)</f>
        <v>26.283185840560002</v>
      </c>
      <c r="I1146" s="34">
        <f>(C1146*1.16814159292)+(-2)</f>
        <v>23.699115044240003</v>
      </c>
      <c r="J1146" s="34">
        <f>(C1146*1.1238938053)+(-3.9)</f>
        <v>20.825663716600001</v>
      </c>
      <c r="K1146" s="34">
        <f>(C1146*1.07964601769)+(-5.6)</f>
        <v>18.152212389180001</v>
      </c>
    </row>
    <row r="1147" spans="1:11" s="21" customFormat="1" ht="19.95" customHeight="1" x14ac:dyDescent="0.25">
      <c r="A1147" s="13" t="str">
        <f>"1015131"</f>
        <v>1015131</v>
      </c>
      <c r="B1147" s="14" t="s">
        <v>1492</v>
      </c>
      <c r="C1147" s="13" t="str">
        <f>"9.1"</f>
        <v>9.1</v>
      </c>
      <c r="D1147" s="32">
        <f>(C1147*1.24778761061)+(0.4)</f>
        <v>11.754867256551</v>
      </c>
      <c r="E1147" s="33">
        <f>(C1147*1.16814159292)+(-1)</f>
        <v>9.6300884955720001</v>
      </c>
      <c r="F1147" s="33">
        <f>(C1147*1.1238938053)+(-4.4)</f>
        <v>5.8274336282300006</v>
      </c>
      <c r="G1147" s="33">
        <f>(C1147*1.06194690265)+(-5.9)</f>
        <v>3.7637168141149981</v>
      </c>
      <c r="H1147" s="34">
        <f>(C1147*1.19469026548)+(0)</f>
        <v>10.871681415868</v>
      </c>
      <c r="I1147" s="34">
        <f>(C1147*1.16814159292)+(-2)</f>
        <v>8.6300884955720001</v>
      </c>
      <c r="J1147" s="34">
        <f>(C1147*1.1238938053)+(-3.9)</f>
        <v>6.3274336282300006</v>
      </c>
      <c r="K1147" s="34">
        <f>(C1147*1.07964601769)+(-5.6)</f>
        <v>4.2247787609789995</v>
      </c>
    </row>
    <row r="1148" spans="1:11" s="21" customFormat="1" ht="19.95" customHeight="1" x14ac:dyDescent="0.25">
      <c r="A1148" s="13" t="str">
        <f>"66122"</f>
        <v>66122</v>
      </c>
      <c r="B1148" s="14" t="s">
        <v>1493</v>
      </c>
      <c r="C1148" s="13" t="str">
        <f>"11.1"</f>
        <v>11.1</v>
      </c>
      <c r="D1148" s="32">
        <f>(C1148*1.24778761061)+(0.4)</f>
        <v>14.250442477771001</v>
      </c>
      <c r="E1148" s="33">
        <f>(C1148*1.16814159292)+(-1)</f>
        <v>11.966371681412001</v>
      </c>
      <c r="F1148" s="33">
        <f>(C1148*1.1238938053)+(-4.4)</f>
        <v>8.0752212388300002</v>
      </c>
      <c r="G1148" s="33">
        <f>(C1148*1.06194690265)+(-5.9)</f>
        <v>5.887610619414998</v>
      </c>
      <c r="H1148" s="34">
        <f>(C1148*1.19469026548)+(0)</f>
        <v>13.261061946827999</v>
      </c>
      <c r="I1148" s="34">
        <f>(C1148*1.16814159292)+(-2)</f>
        <v>10.966371681412001</v>
      </c>
      <c r="J1148" s="34">
        <f>(C1148*1.1238938053)+(-3.9)</f>
        <v>8.5752212388300002</v>
      </c>
      <c r="K1148" s="34">
        <f>(C1148*1.07964601769)+(-5.6)</f>
        <v>6.3840707963589995</v>
      </c>
    </row>
    <row r="1149" spans="1:11" s="21" customFormat="1" ht="19.95" customHeight="1" x14ac:dyDescent="0.25">
      <c r="A1149" s="13" t="str">
        <f>"29552"</f>
        <v>29552</v>
      </c>
      <c r="B1149" s="14" t="s">
        <v>1494</v>
      </c>
      <c r="C1149" s="13" t="str">
        <f>"14.6"</f>
        <v>14.6</v>
      </c>
      <c r="D1149" s="32">
        <f>(C1149*1.24778761061)+(0.4)</f>
        <v>18.617699114905999</v>
      </c>
      <c r="E1149" s="33">
        <f>(C1149*1.16814159292)+(-1)</f>
        <v>16.054867256632001</v>
      </c>
      <c r="F1149" s="33">
        <f>(C1149*1.1238938053)+(-4.4)</f>
        <v>12.008849557380001</v>
      </c>
      <c r="G1149" s="33">
        <f>(C1149*1.06194690265)+(-5.9)</f>
        <v>9.6044247786899977</v>
      </c>
      <c r="H1149" s="34">
        <f>(C1149*1.19469026548)+(0)</f>
        <v>17.442477876007999</v>
      </c>
      <c r="I1149" s="34">
        <f>(C1149*1.16814159292)+(-2)</f>
        <v>15.054867256632001</v>
      </c>
      <c r="J1149" s="34">
        <f>(C1149*1.1238938053)+(-3.9)</f>
        <v>12.508849557380001</v>
      </c>
      <c r="K1149" s="34">
        <f>(C1149*1.07964601769)+(-5.6)</f>
        <v>10.162831858274</v>
      </c>
    </row>
    <row r="1150" spans="1:11" s="21" customFormat="1" ht="19.95" customHeight="1" x14ac:dyDescent="0.25">
      <c r="A1150" s="13" t="str">
        <f>"16764"</f>
        <v>16764</v>
      </c>
      <c r="B1150" s="14" t="s">
        <v>1495</v>
      </c>
      <c r="C1150" s="13" t="str">
        <f>"9.0"</f>
        <v>9.0</v>
      </c>
      <c r="D1150" s="32">
        <f>(C1150*1.24778761061)+(0.4)</f>
        <v>11.630088495490002</v>
      </c>
      <c r="E1150" s="33">
        <f>(C1150*1.16814159292)+(-1)</f>
        <v>9.5132743362800003</v>
      </c>
      <c r="F1150" s="33">
        <f>(C1150*1.1238938053)+(-4.4)</f>
        <v>5.7150442476999999</v>
      </c>
      <c r="G1150" s="33">
        <f>(C1150*1.06194690265)+(-5.9)</f>
        <v>3.6575221238499989</v>
      </c>
      <c r="H1150" s="34">
        <f>(C1150*1.19469026548)+(0)</f>
        <v>10.75221238932</v>
      </c>
      <c r="I1150" s="34">
        <f>(C1150*1.16814159292)+(-2)</f>
        <v>8.5132743362800003</v>
      </c>
      <c r="J1150" s="34">
        <f>(C1150*1.1238938053)+(-3.9)</f>
        <v>6.2150442476999999</v>
      </c>
      <c r="K1150" s="34">
        <f>(C1150*1.07964601769)+(-5.6)</f>
        <v>4.1168141592099996</v>
      </c>
    </row>
    <row r="1151" spans="1:11" s="21" customFormat="1" ht="19.95" customHeight="1" x14ac:dyDescent="0.25">
      <c r="A1151" s="13" t="str">
        <f>"16765"</f>
        <v>16765</v>
      </c>
      <c r="B1151" s="14" t="s">
        <v>1496</v>
      </c>
      <c r="C1151" s="13" t="str">
        <f>"16.3"</f>
        <v>16.3</v>
      </c>
      <c r="D1151" s="32">
        <f>(C1151*1.24778761061)+(0.4)</f>
        <v>20.738938052943002</v>
      </c>
      <c r="E1151" s="33">
        <f>(C1151*1.16814159292)+(-1)</f>
        <v>18.040707964596002</v>
      </c>
      <c r="F1151" s="33">
        <f>(C1151*1.1238938053)+(-4.4)</f>
        <v>13.919469026390002</v>
      </c>
      <c r="G1151" s="33">
        <f>(C1151*1.06194690265)+(-5.9)</f>
        <v>11.409734513195</v>
      </c>
      <c r="H1151" s="34">
        <f>(C1151*1.19469026548)+(0)</f>
        <v>19.473451327324</v>
      </c>
      <c r="I1151" s="34">
        <f>(C1151*1.16814159292)+(-2)</f>
        <v>17.040707964596002</v>
      </c>
      <c r="J1151" s="34">
        <f>(C1151*1.1238938053)+(-3.9)</f>
        <v>14.419469026390002</v>
      </c>
      <c r="K1151" s="34">
        <f>(C1151*1.07964601769)+(-5.6)</f>
        <v>11.998230088347002</v>
      </c>
    </row>
    <row r="1152" spans="1:11" s="21" customFormat="1" ht="19.95" customHeight="1" x14ac:dyDescent="0.25">
      <c r="A1152" s="13" t="str">
        <f>"1004526"</f>
        <v>1004526</v>
      </c>
      <c r="B1152" s="14" t="s">
        <v>1497</v>
      </c>
      <c r="C1152" s="13" t="str">
        <f>"18.8"</f>
        <v>18.8</v>
      </c>
      <c r="D1152" s="32">
        <f>(C1152*1.24778761061)+(0.4)</f>
        <v>23.858407079468002</v>
      </c>
      <c r="E1152" s="33">
        <f>(C1152*1.16814159292)+(-1)</f>
        <v>20.961061946896002</v>
      </c>
      <c r="F1152" s="33">
        <f>(C1152*1.1238938053)+(-4.4)</f>
        <v>16.729203539640004</v>
      </c>
      <c r="G1152" s="33">
        <f>(C1152*1.06194690265)+(-5.9)</f>
        <v>14.064601769819999</v>
      </c>
      <c r="H1152" s="34">
        <f>(C1152*1.19469026548)+(0)</f>
        <v>22.460176991023999</v>
      </c>
      <c r="I1152" s="34">
        <f>(C1152*1.16814159292)+(-2)</f>
        <v>19.961061946896002</v>
      </c>
      <c r="J1152" s="34">
        <f>(C1152*1.1238938053)+(-3.9)</f>
        <v>17.229203539640004</v>
      </c>
      <c r="K1152" s="34">
        <f>(C1152*1.07964601769)+(-5.6)</f>
        <v>14.697345132572002</v>
      </c>
    </row>
    <row r="1153" spans="1:11" s="21" customFormat="1" ht="19.95" customHeight="1" x14ac:dyDescent="0.25">
      <c r="A1153" s="13" t="str">
        <f>"16769"</f>
        <v>16769</v>
      </c>
      <c r="B1153" s="14" t="s">
        <v>1498</v>
      </c>
      <c r="C1153" s="13" t="str">
        <f>"14.3"</f>
        <v>14.3</v>
      </c>
      <c r="D1153" s="32">
        <f>(C1153*1.24778761061)+(0.4)</f>
        <v>18.243362831723001</v>
      </c>
      <c r="E1153" s="33">
        <f>(C1153*1.16814159292)+(-1)</f>
        <v>15.704424778756003</v>
      </c>
      <c r="F1153" s="33">
        <f>(C1153*1.1238938053)+(-4.4)</f>
        <v>11.671681415790003</v>
      </c>
      <c r="G1153" s="33">
        <f>(C1153*1.06194690265)+(-5.9)</f>
        <v>9.2858407078949998</v>
      </c>
      <c r="H1153" s="34">
        <f>(C1153*1.19469026548)+(0)</f>
        <v>17.084070796363999</v>
      </c>
      <c r="I1153" s="34">
        <f>(C1153*1.16814159292)+(-2)</f>
        <v>14.704424778756003</v>
      </c>
      <c r="J1153" s="34">
        <f>(C1153*1.1238938053)+(-3.9)</f>
        <v>12.171681415790003</v>
      </c>
      <c r="K1153" s="34">
        <f>(C1153*1.07964601769)+(-5.6)</f>
        <v>9.8389380529670021</v>
      </c>
    </row>
    <row r="1154" spans="1:11" s="21" customFormat="1" ht="19.95" customHeight="1" x14ac:dyDescent="0.25">
      <c r="A1154" s="13" t="str">
        <f>"1000980"</f>
        <v>1000980</v>
      </c>
      <c r="B1154" s="14" t="s">
        <v>1499</v>
      </c>
      <c r="C1154" s="13" t="str">
        <f>"33.5"</f>
        <v>33.5</v>
      </c>
      <c r="D1154" s="32">
        <f>(C1154*1.24778761061)+(0.4)</f>
        <v>42.200884955435001</v>
      </c>
      <c r="E1154" s="33">
        <f>(C1154*1.16814159292)+(-1)</f>
        <v>38.132743362820001</v>
      </c>
      <c r="F1154" s="33">
        <f>(C1154*1.1238938053)+(-4.4)</f>
        <v>33.250442477550003</v>
      </c>
      <c r="G1154" s="33">
        <f>(C1154*1.06194690265)+(-5.9)</f>
        <v>29.675221238775002</v>
      </c>
      <c r="H1154" s="34">
        <f>(C1154*1.19469026548)+(0)</f>
        <v>40.022123893580002</v>
      </c>
      <c r="I1154" s="34">
        <f>(C1154*1.16814159292)+(-2)</f>
        <v>37.132743362820001</v>
      </c>
      <c r="J1154" s="34">
        <f>(C1154*1.1238938053)+(-3.9)</f>
        <v>33.750442477550003</v>
      </c>
      <c r="K1154" s="34">
        <f>(C1154*1.07964601769)+(-5.6)</f>
        <v>30.568141592615</v>
      </c>
    </row>
    <row r="1155" spans="1:11" s="21" customFormat="1" ht="19.95" customHeight="1" x14ac:dyDescent="0.25">
      <c r="A1155" s="13" t="str">
        <f>"75125"</f>
        <v>75125</v>
      </c>
      <c r="B1155" s="14" t="s">
        <v>1500</v>
      </c>
      <c r="C1155" s="13" t="str">
        <f>"14.3"</f>
        <v>14.3</v>
      </c>
      <c r="D1155" s="32">
        <f>(C1155*1.24778761061)+(0.4)</f>
        <v>18.243362831723001</v>
      </c>
      <c r="E1155" s="33">
        <f>(C1155*1.16814159292)+(-1)</f>
        <v>15.704424778756003</v>
      </c>
      <c r="F1155" s="33">
        <f>(C1155*1.1238938053)+(-4.4)</f>
        <v>11.671681415790003</v>
      </c>
      <c r="G1155" s="33">
        <f>(C1155*1.06194690265)+(-5.9)</f>
        <v>9.2858407078949998</v>
      </c>
      <c r="H1155" s="34">
        <f>(C1155*1.19469026548)+(0)</f>
        <v>17.084070796363999</v>
      </c>
      <c r="I1155" s="34">
        <f>(C1155*1.16814159292)+(-2)</f>
        <v>14.704424778756003</v>
      </c>
      <c r="J1155" s="34">
        <f>(C1155*1.1238938053)+(-3.9)</f>
        <v>12.171681415790003</v>
      </c>
      <c r="K1155" s="34">
        <f>(C1155*1.07964601769)+(-5.6)</f>
        <v>9.8389380529670021</v>
      </c>
    </row>
    <row r="1156" spans="1:11" s="21" customFormat="1" ht="19.95" customHeight="1" x14ac:dyDescent="0.25">
      <c r="A1156" s="13" t="str">
        <f>"1007629"</f>
        <v>1007629</v>
      </c>
      <c r="B1156" s="14" t="s">
        <v>1501</v>
      </c>
      <c r="C1156" s="13" t="str">
        <f>"25.5"</f>
        <v>25.5</v>
      </c>
      <c r="D1156" s="32">
        <f>(C1156*1.24778761061)+(0.4)</f>
        <v>32.218584070555004</v>
      </c>
      <c r="E1156" s="33">
        <f>(C1156*1.16814159292)+(-1)</f>
        <v>28.787610619460001</v>
      </c>
      <c r="F1156" s="33">
        <f>(C1156*1.1238938053)+(-4.4)</f>
        <v>24.259292035150004</v>
      </c>
      <c r="G1156" s="33">
        <f>(C1156*1.06194690265)+(-5.9)</f>
        <v>21.179646017574996</v>
      </c>
      <c r="H1156" s="34">
        <f>(C1156*1.19469026548)+(0)</f>
        <v>30.46460176974</v>
      </c>
      <c r="I1156" s="34">
        <f>(C1156*1.16814159292)+(-2)</f>
        <v>27.787610619460001</v>
      </c>
      <c r="J1156" s="34">
        <f>(C1156*1.1238938053)+(-3.9)</f>
        <v>24.759292035150004</v>
      </c>
      <c r="K1156" s="34">
        <f>(C1156*1.07964601769)+(-5.6)</f>
        <v>21.930973451094999</v>
      </c>
    </row>
    <row r="1157" spans="1:11" s="21" customFormat="1" ht="19.95" customHeight="1" x14ac:dyDescent="0.25">
      <c r="A1157" s="13" t="str">
        <f>"16774"</f>
        <v>16774</v>
      </c>
      <c r="B1157" s="14" t="s">
        <v>1502</v>
      </c>
      <c r="C1157" s="13" t="str">
        <f>"21.4"</f>
        <v>21.4</v>
      </c>
      <c r="D1157" s="32">
        <f>(C1157*1.24778761061)+(0.4)</f>
        <v>27.102654867054</v>
      </c>
      <c r="E1157" s="33">
        <f>(C1157*1.16814159292)+(-1)</f>
        <v>23.998230088488</v>
      </c>
      <c r="F1157" s="33">
        <f>(C1157*1.1238938053)+(-4.4)</f>
        <v>19.651327433420001</v>
      </c>
      <c r="G1157" s="33">
        <f>(C1157*1.06194690265)+(-5.9)</f>
        <v>16.825663716709997</v>
      </c>
      <c r="H1157" s="34">
        <f>(C1157*1.19469026548)+(0)</f>
        <v>25.566371681271999</v>
      </c>
      <c r="I1157" s="34">
        <f>(C1157*1.16814159292)+(-2)</f>
        <v>22.998230088488</v>
      </c>
      <c r="J1157" s="34">
        <f>(C1157*1.1238938053)+(-3.9)</f>
        <v>20.151327433420001</v>
      </c>
      <c r="K1157" s="34">
        <f>(C1157*1.07964601769)+(-5.6)</f>
        <v>17.504424778565998</v>
      </c>
    </row>
    <row r="1158" spans="1:11" s="21" customFormat="1" ht="19.95" customHeight="1" x14ac:dyDescent="0.25">
      <c r="A1158" s="13" t="str">
        <f>"16775"</f>
        <v>16775</v>
      </c>
      <c r="B1158" s="14" t="s">
        <v>1503</v>
      </c>
      <c r="C1158" s="13" t="str">
        <f>"23.3"</f>
        <v>23.3</v>
      </c>
      <c r="D1158" s="32">
        <f>(C1158*1.24778761061)+(0.4)</f>
        <v>29.473451327213002</v>
      </c>
      <c r="E1158" s="33">
        <f>(C1158*1.16814159292)+(-1)</f>
        <v>26.217699115036002</v>
      </c>
      <c r="F1158" s="33">
        <f>(C1158*1.1238938053)+(-4.4)</f>
        <v>21.786725663490003</v>
      </c>
      <c r="G1158" s="33">
        <f>(C1158*1.06194690265)+(-5.9)</f>
        <v>18.843362831744997</v>
      </c>
      <c r="H1158" s="34">
        <f>(C1158*1.19469026548)+(0)</f>
        <v>27.836283185684</v>
      </c>
      <c r="I1158" s="34">
        <f>(C1158*1.16814159292)+(-2)</f>
        <v>25.217699115036002</v>
      </c>
      <c r="J1158" s="34">
        <f>(C1158*1.1238938053)+(-3.9)</f>
        <v>22.286725663490003</v>
      </c>
      <c r="K1158" s="34">
        <f>(C1158*1.07964601769)+(-5.6)</f>
        <v>19.555752212177005</v>
      </c>
    </row>
    <row r="1159" spans="1:11" s="21" customFormat="1" ht="19.95" customHeight="1" x14ac:dyDescent="0.25">
      <c r="A1159" s="13" t="str">
        <f>"16777"</f>
        <v>16777</v>
      </c>
      <c r="B1159" s="14" t="s">
        <v>1504</v>
      </c>
      <c r="C1159" s="13" t="str">
        <f>"17.7"</f>
        <v>17.7</v>
      </c>
      <c r="D1159" s="32">
        <f>(C1159*1.24778761061)+(0.4)</f>
        <v>22.485840707796999</v>
      </c>
      <c r="E1159" s="33">
        <f>(C1159*1.16814159292)+(-1)</f>
        <v>19.676106194683999</v>
      </c>
      <c r="F1159" s="33">
        <f>(C1159*1.1238938053)+(-4.4)</f>
        <v>15.492920353809998</v>
      </c>
      <c r="G1159" s="33">
        <f>(C1159*1.06194690265)+(-5.9)</f>
        <v>12.896460176904997</v>
      </c>
      <c r="H1159" s="34">
        <f>(C1159*1.19469026548)+(0)</f>
        <v>21.146017698996001</v>
      </c>
      <c r="I1159" s="34">
        <f>(C1159*1.16814159292)+(-2)</f>
        <v>18.676106194683999</v>
      </c>
      <c r="J1159" s="34">
        <f>(C1159*1.1238938053)+(-3.9)</f>
        <v>15.992920353809998</v>
      </c>
      <c r="K1159" s="34">
        <f>(C1159*1.07964601769)+(-5.6)</f>
        <v>13.509734513113001</v>
      </c>
    </row>
    <row r="1160" spans="1:11" s="21" customFormat="1" ht="19.95" customHeight="1" x14ac:dyDescent="0.25">
      <c r="A1160" s="13" t="str">
        <f>"1001887"</f>
        <v>1001887</v>
      </c>
      <c r="B1160" s="14" t="s">
        <v>1505</v>
      </c>
      <c r="C1160" s="13" t="str">
        <f>"30.1"</f>
        <v>30.1</v>
      </c>
      <c r="D1160" s="32">
        <f>(C1160*1.24778761061)+(0.4)</f>
        <v>37.958407079361002</v>
      </c>
      <c r="E1160" s="33">
        <f>(C1160*1.16814159292)+(-1)</f>
        <v>34.161061946892005</v>
      </c>
      <c r="F1160" s="33">
        <f>(C1160*1.1238938053)+(-4.4)</f>
        <v>29.429203539530008</v>
      </c>
      <c r="G1160" s="33">
        <f>(C1160*1.06194690265)+(-5.9)</f>
        <v>26.064601769764998</v>
      </c>
      <c r="H1160" s="34">
        <f>(C1160*1.19469026548)+(0)</f>
        <v>35.960176990948</v>
      </c>
      <c r="I1160" s="34">
        <f>(C1160*1.16814159292)+(-2)</f>
        <v>33.161061946892005</v>
      </c>
      <c r="J1160" s="34">
        <f>(C1160*1.1238938053)+(-3.9)</f>
        <v>29.929203539530008</v>
      </c>
      <c r="K1160" s="34">
        <f>(C1160*1.07964601769)+(-5.6)</f>
        <v>26.897345132468999</v>
      </c>
    </row>
    <row r="1161" spans="1:11" s="21" customFormat="1" ht="19.95" customHeight="1" x14ac:dyDescent="0.25">
      <c r="A1161" s="13" t="str">
        <f>"1004810"</f>
        <v>1004810</v>
      </c>
      <c r="B1161" s="14" t="s">
        <v>1924</v>
      </c>
      <c r="C1161" s="13" t="str">
        <f>"12.6"</f>
        <v>12.6</v>
      </c>
      <c r="D1161" s="32">
        <f>(C1161*1.24778761061)+(0.4)</f>
        <v>16.122123893686002</v>
      </c>
      <c r="E1161" s="33">
        <f>(C1161*1.16814159292)+(-1)</f>
        <v>13.718584070792001</v>
      </c>
      <c r="F1161" s="33">
        <f>(C1161*1.1238938053)+(-4.4)</f>
        <v>9.7610619467799999</v>
      </c>
      <c r="G1161" s="33">
        <f>(C1161*1.06194690265)+(-5.9)</f>
        <v>7.4805309733899978</v>
      </c>
      <c r="H1161" s="34">
        <f>(C1161*1.19469026548)+(0)</f>
        <v>15.053097345048</v>
      </c>
      <c r="I1161" s="34">
        <f>(C1161*1.16814159292)+(-2)</f>
        <v>12.718584070792001</v>
      </c>
      <c r="J1161" s="34">
        <f>(C1161*1.1238938053)+(-3.9)</f>
        <v>10.26106194678</v>
      </c>
      <c r="K1161" s="34">
        <f>(C1161*1.07964601769)+(-5.6)</f>
        <v>8.003539822894</v>
      </c>
    </row>
    <row r="1162" spans="1:11" s="21" customFormat="1" ht="19.95" customHeight="1" x14ac:dyDescent="0.25">
      <c r="A1162" s="13" t="str">
        <f>"27460"</f>
        <v>27460</v>
      </c>
      <c r="B1162" s="14" t="s">
        <v>1506</v>
      </c>
      <c r="C1162" s="13" t="str">
        <f>"4.5"</f>
        <v>4.5</v>
      </c>
      <c r="D1162" s="32">
        <f>(C1162*1.24778761061)+(0.4)</f>
        <v>6.015044247745001</v>
      </c>
      <c r="E1162" s="33">
        <f>(C1162*1.16814159292)+(-1)</f>
        <v>4.2566371681400001</v>
      </c>
      <c r="F1162" s="33">
        <f>(C1162*1.1238938053)+(-4.4)</f>
        <v>0.65752212384999975</v>
      </c>
      <c r="G1162" s="33">
        <f>(C1162*1.06194690265)+(-5.9)</f>
        <v>-1.1212389380750007</v>
      </c>
      <c r="H1162" s="34">
        <f>(C1162*1.19469026548)+(0)</f>
        <v>5.3761061946600002</v>
      </c>
      <c r="I1162" s="34">
        <f>(C1162*1.16814159292)+(-2)</f>
        <v>3.2566371681400001</v>
      </c>
      <c r="J1162" s="34">
        <f>(C1162*1.1238938053)+(-3.9)</f>
        <v>1.1575221238500002</v>
      </c>
      <c r="K1162" s="34">
        <f>(C1162*1.07964601769)+(-5.6)</f>
        <v>-0.74159292039500002</v>
      </c>
    </row>
    <row r="1163" spans="1:11" s="21" customFormat="1" ht="19.95" customHeight="1" x14ac:dyDescent="0.25">
      <c r="A1163" s="13" t="str">
        <f>"72828"</f>
        <v>72828</v>
      </c>
      <c r="B1163" s="14" t="s">
        <v>1507</v>
      </c>
      <c r="C1163" s="13" t="str">
        <f>"19.3"</f>
        <v>19.3</v>
      </c>
      <c r="D1163" s="32">
        <f>(C1163*1.24778761061)+(0.4)</f>
        <v>24.482300884773</v>
      </c>
      <c r="E1163" s="33">
        <f>(C1163*1.16814159292)+(-1)</f>
        <v>21.545132743356003</v>
      </c>
      <c r="F1163" s="33">
        <f>(C1163*1.1238938053)+(-4.4)</f>
        <v>17.291150442290004</v>
      </c>
      <c r="G1163" s="33">
        <f>(C1163*1.06194690265)+(-5.9)</f>
        <v>14.595575221144999</v>
      </c>
      <c r="H1163" s="34">
        <f>(C1163*1.19469026548)+(0)</f>
        <v>23.057522123764002</v>
      </c>
      <c r="I1163" s="34">
        <f>(C1163*1.16814159292)+(-2)</f>
        <v>20.545132743356003</v>
      </c>
      <c r="J1163" s="34">
        <f>(C1163*1.1238938053)+(-3.9)</f>
        <v>17.791150442290004</v>
      </c>
      <c r="K1163" s="34">
        <f>(C1163*1.07964601769)+(-5.6)</f>
        <v>15.237168141417003</v>
      </c>
    </row>
    <row r="1164" spans="1:11" s="21" customFormat="1" ht="19.95" customHeight="1" x14ac:dyDescent="0.25">
      <c r="A1164" s="13" t="str">
        <f>"7549"</f>
        <v>7549</v>
      </c>
      <c r="B1164" s="14" t="s">
        <v>1508</v>
      </c>
      <c r="C1164" s="13" t="str">
        <f>"14.9"</f>
        <v>14.9</v>
      </c>
      <c r="D1164" s="32">
        <f>(C1164*1.24778761061)+(0.4)</f>
        <v>18.992035398089001</v>
      </c>
      <c r="E1164" s="33">
        <f>(C1164*1.16814159292)+(-1)</f>
        <v>16.405309734508002</v>
      </c>
      <c r="F1164" s="33">
        <f>(C1164*1.1238938053)+(-4.4)</f>
        <v>12.34601769897</v>
      </c>
      <c r="G1164" s="33">
        <f>(C1164*1.06194690265)+(-5.9)</f>
        <v>9.9230088494849991</v>
      </c>
      <c r="H1164" s="34">
        <f>(C1164*1.19469026548)+(0)</f>
        <v>17.800884955652002</v>
      </c>
      <c r="I1164" s="34">
        <f>(C1164*1.16814159292)+(-2)</f>
        <v>15.405309734508002</v>
      </c>
      <c r="J1164" s="34">
        <f>(C1164*1.1238938053)+(-3.9)</f>
        <v>12.84601769897</v>
      </c>
      <c r="K1164" s="34">
        <f>(C1164*1.07964601769)+(-5.6)</f>
        <v>10.486725663581</v>
      </c>
    </row>
    <row r="1165" spans="1:11" s="21" customFormat="1" ht="19.95" customHeight="1" x14ac:dyDescent="0.25">
      <c r="A1165" s="13" t="str">
        <f>"16783"</f>
        <v>16783</v>
      </c>
      <c r="B1165" s="14" t="s">
        <v>1509</v>
      </c>
      <c r="C1165" s="13" t="str">
        <f>"16.0"</f>
        <v>16.0</v>
      </c>
      <c r="D1165" s="32">
        <f>(C1165*1.24778761061)+(0.4)</f>
        <v>20.36460176976</v>
      </c>
      <c r="E1165" s="33">
        <f>(C1165*1.16814159292)+(-1)</f>
        <v>17.690265486720001</v>
      </c>
      <c r="F1165" s="33">
        <f>(C1165*1.1238938053)+(-4.4)</f>
        <v>13.5823008848</v>
      </c>
      <c r="G1165" s="33">
        <f>(C1165*1.06194690265)+(-5.9)</f>
        <v>11.091150442399998</v>
      </c>
      <c r="H1165" s="34">
        <f>(C1165*1.19469026548)+(0)</f>
        <v>19.11504424768</v>
      </c>
      <c r="I1165" s="34">
        <f>(C1165*1.16814159292)+(-2)</f>
        <v>16.690265486720001</v>
      </c>
      <c r="J1165" s="34">
        <f>(C1165*1.1238938053)+(-3.9)</f>
        <v>14.0823008848</v>
      </c>
      <c r="K1165" s="34">
        <f>(C1165*1.07964601769)+(-5.6)</f>
        <v>11.674336283040001</v>
      </c>
    </row>
    <row r="1166" spans="1:11" s="21" customFormat="1" ht="19.95" customHeight="1" x14ac:dyDescent="0.25">
      <c r="A1166" s="13" t="str">
        <f>"16784"</f>
        <v>16784</v>
      </c>
      <c r="B1166" s="14" t="s">
        <v>1510</v>
      </c>
      <c r="C1166" s="13" t="str">
        <f>"20.6"</f>
        <v>20.6</v>
      </c>
      <c r="D1166" s="32">
        <f>(C1166*1.24778761061)+(0.4)</f>
        <v>26.104424778566003</v>
      </c>
      <c r="E1166" s="33">
        <f>(C1166*1.16814159292)+(-1)</f>
        <v>23.063716814152002</v>
      </c>
      <c r="F1166" s="33">
        <f>(C1166*1.1238938053)+(-4.4)</f>
        <v>18.752212389180002</v>
      </c>
      <c r="G1166" s="33">
        <f>(C1166*1.06194690265)+(-5.9)</f>
        <v>15.976106194590001</v>
      </c>
      <c r="H1166" s="34">
        <f>(C1166*1.19469026548)+(0)</f>
        <v>24.610619468888</v>
      </c>
      <c r="I1166" s="34">
        <f>(C1166*1.16814159292)+(-2)</f>
        <v>22.063716814152002</v>
      </c>
      <c r="J1166" s="34">
        <f>(C1166*1.1238938053)+(-3.9)</f>
        <v>19.252212389180006</v>
      </c>
      <c r="K1166" s="34">
        <f>(C1166*1.07964601769)+(-5.6)</f>
        <v>16.640707964414005</v>
      </c>
    </row>
    <row r="1167" spans="1:11" s="21" customFormat="1" ht="19.95" customHeight="1" x14ac:dyDescent="0.25">
      <c r="A1167" s="13" t="str">
        <f>"16785"</f>
        <v>16785</v>
      </c>
      <c r="B1167" s="14" t="s">
        <v>1511</v>
      </c>
      <c r="C1167" s="13" t="str">
        <f>"17.3"</f>
        <v>17.3</v>
      </c>
      <c r="D1167" s="32">
        <f>(C1167*1.24778761061)+(0.4)</f>
        <v>21.986725663553003</v>
      </c>
      <c r="E1167" s="33">
        <f>(C1167*1.16814159292)+(-1)</f>
        <v>19.208849557516004</v>
      </c>
      <c r="F1167" s="33">
        <f>(C1167*1.1238938053)+(-4.4)</f>
        <v>15.043362831690002</v>
      </c>
      <c r="G1167" s="33">
        <f>(C1167*1.06194690265)+(-5.9)</f>
        <v>12.471681415845</v>
      </c>
      <c r="H1167" s="34">
        <f>(C1167*1.19469026548)+(0)</f>
        <v>20.668141592804002</v>
      </c>
      <c r="I1167" s="34">
        <f>(C1167*1.16814159292)+(-2)</f>
        <v>18.208849557516004</v>
      </c>
      <c r="J1167" s="34">
        <f>(C1167*1.1238938053)+(-3.9)</f>
        <v>15.543362831690002</v>
      </c>
      <c r="K1167" s="34">
        <f>(C1167*1.07964601769)+(-5.6)</f>
        <v>13.077876106037001</v>
      </c>
    </row>
    <row r="1168" spans="1:11" s="21" customFormat="1" ht="19.95" customHeight="1" x14ac:dyDescent="0.25">
      <c r="A1168" s="13" t="str">
        <f>"33694"</f>
        <v>33694</v>
      </c>
      <c r="B1168" s="14" t="s">
        <v>1512</v>
      </c>
      <c r="C1168" s="13" t="str">
        <f>"10.4"</f>
        <v>10.4</v>
      </c>
      <c r="D1168" s="32">
        <f>(C1168*1.24778761061)+(0.4)</f>
        <v>13.376991150344002</v>
      </c>
      <c r="E1168" s="33">
        <f>(C1168*1.16814159292)+(-1)</f>
        <v>11.148672566368001</v>
      </c>
      <c r="F1168" s="33">
        <f>(C1168*1.1238938053)+(-4.4)</f>
        <v>7.2884955751200007</v>
      </c>
      <c r="G1168" s="33">
        <f>(C1168*1.06194690265)+(-5.9)</f>
        <v>5.1442477875599995</v>
      </c>
      <c r="H1168" s="34">
        <f>(C1168*1.19469026548)+(0)</f>
        <v>12.424778760992</v>
      </c>
      <c r="I1168" s="34">
        <f>(C1168*1.16814159292)+(-2)</f>
        <v>10.148672566368001</v>
      </c>
      <c r="J1168" s="34">
        <f>(C1168*1.1238938053)+(-3.9)</f>
        <v>7.7884955751200007</v>
      </c>
      <c r="K1168" s="34">
        <f>(C1168*1.07964601769)+(-5.6)</f>
        <v>5.6283185839760002</v>
      </c>
    </row>
    <row r="1169" spans="1:11" s="21" customFormat="1" ht="19.95" customHeight="1" x14ac:dyDescent="0.25">
      <c r="A1169" s="13" t="str">
        <f>"9781"</f>
        <v>9781</v>
      </c>
      <c r="B1169" s="14" t="s">
        <v>1513</v>
      </c>
      <c r="C1169" s="13" t="str">
        <f>"26.0"</f>
        <v>26.0</v>
      </c>
      <c r="D1169" s="32">
        <f>(C1169*1.24778761061)+(0.4)</f>
        <v>32.842477875859998</v>
      </c>
      <c r="E1169" s="33">
        <f>(C1169*1.16814159292)+(-1)</f>
        <v>29.371681415920001</v>
      </c>
      <c r="F1169" s="33">
        <f>(C1169*1.1238938053)+(-4.4)</f>
        <v>24.821238937800004</v>
      </c>
      <c r="G1169" s="33">
        <f>(C1169*1.06194690265)+(-5.9)</f>
        <v>21.710619468899999</v>
      </c>
      <c r="H1169" s="34">
        <f>(C1169*1.19469026548)+(0)</f>
        <v>31.061946902479999</v>
      </c>
      <c r="I1169" s="34">
        <f>(C1169*1.16814159292)+(-2)</f>
        <v>28.371681415920001</v>
      </c>
      <c r="J1169" s="34">
        <f>(C1169*1.1238938053)+(-3.9)</f>
        <v>25.321238937800004</v>
      </c>
      <c r="K1169" s="34">
        <f>(C1169*1.07964601769)+(-5.6)</f>
        <v>22.470796459939997</v>
      </c>
    </row>
    <row r="1170" spans="1:11" s="21" customFormat="1" ht="19.95" customHeight="1" x14ac:dyDescent="0.25">
      <c r="A1170" s="13" t="str">
        <f>"16787"</f>
        <v>16787</v>
      </c>
      <c r="B1170" s="14" t="s">
        <v>1514</v>
      </c>
      <c r="C1170" s="13" t="str">
        <f>"12.3"</f>
        <v>12.3</v>
      </c>
      <c r="D1170" s="32">
        <f>(C1170*1.24778761061)+(0.4)</f>
        <v>15.747787610503002</v>
      </c>
      <c r="E1170" s="33">
        <f>(C1170*1.16814159292)+(-1)</f>
        <v>13.368141592916002</v>
      </c>
      <c r="F1170" s="33">
        <f>(C1170*1.1238938053)+(-4.4)</f>
        <v>9.4238938051900014</v>
      </c>
      <c r="G1170" s="33">
        <f>(C1170*1.06194690265)+(-5.9)</f>
        <v>7.161946902595</v>
      </c>
      <c r="H1170" s="34">
        <f>(C1170*1.19469026548)+(0)</f>
        <v>14.694690265404001</v>
      </c>
      <c r="I1170" s="34">
        <f>(C1170*1.16814159292)+(-2)</f>
        <v>12.368141592916002</v>
      </c>
      <c r="J1170" s="34">
        <f>(C1170*1.1238938053)+(-3.9)</f>
        <v>9.9238938051900014</v>
      </c>
      <c r="K1170" s="34">
        <f>(C1170*1.07964601769)+(-5.6)</f>
        <v>7.679646017587002</v>
      </c>
    </row>
    <row r="1171" spans="1:11" s="21" customFormat="1" ht="19.95" customHeight="1" x14ac:dyDescent="0.25">
      <c r="A1171" s="13" t="str">
        <f>"16788"</f>
        <v>16788</v>
      </c>
      <c r="B1171" s="14" t="s">
        <v>1515</v>
      </c>
      <c r="C1171" s="13" t="str">
        <f>"13.4"</f>
        <v>13.4</v>
      </c>
      <c r="D1171" s="32">
        <f>(C1171*1.24778761061)+(0.4)</f>
        <v>17.120353982173999</v>
      </c>
      <c r="E1171" s="33">
        <f>(C1171*1.16814159292)+(-1)</f>
        <v>14.653097345128002</v>
      </c>
      <c r="F1171" s="33">
        <f>(C1171*1.1238938053)+(-4.4)</f>
        <v>10.66017699102</v>
      </c>
      <c r="G1171" s="33">
        <f>(C1171*1.06194690265)+(-5.9)</f>
        <v>8.3300884955099992</v>
      </c>
      <c r="H1171" s="34">
        <f>(C1171*1.19469026548)+(0)</f>
        <v>16.008849557432001</v>
      </c>
      <c r="I1171" s="34">
        <f>(C1171*1.16814159292)+(-2)</f>
        <v>13.653097345128002</v>
      </c>
      <c r="J1171" s="34">
        <f>(C1171*1.1238938053)+(-3.9)</f>
        <v>11.16017699102</v>
      </c>
      <c r="K1171" s="34">
        <f>(C1171*1.07964601769)+(-5.6)</f>
        <v>8.8672566370460011</v>
      </c>
    </row>
    <row r="1172" spans="1:11" s="21" customFormat="1" ht="19.95" customHeight="1" x14ac:dyDescent="0.25">
      <c r="A1172" s="13" t="str">
        <f>"41821"</f>
        <v>41821</v>
      </c>
      <c r="B1172" s="14" t="s">
        <v>1516</v>
      </c>
      <c r="C1172" s="13" t="str">
        <f>"11.2"</f>
        <v>11.2</v>
      </c>
      <c r="D1172" s="32">
        <f>(C1172*1.24778761061)+(0.4)</f>
        <v>14.375221238832001</v>
      </c>
      <c r="E1172" s="33">
        <f>(C1172*1.16814159292)+(-1)</f>
        <v>12.083185840704001</v>
      </c>
      <c r="F1172" s="33">
        <f>(C1172*1.1238938053)+(-4.4)</f>
        <v>8.1876106193599991</v>
      </c>
      <c r="G1172" s="33">
        <f>(C1172*1.06194690265)+(-5.9)</f>
        <v>5.9938053096799973</v>
      </c>
      <c r="H1172" s="34">
        <f>(C1172*1.19469026548)+(0)</f>
        <v>13.380530973375999</v>
      </c>
      <c r="I1172" s="34">
        <f>(C1172*1.16814159292)+(-2)</f>
        <v>11.083185840704001</v>
      </c>
      <c r="J1172" s="34">
        <f>(C1172*1.1238938053)+(-3.9)</f>
        <v>8.6876106193599991</v>
      </c>
      <c r="K1172" s="34">
        <f>(C1172*1.07964601769)+(-5.6)</f>
        <v>6.4920353981279995</v>
      </c>
    </row>
    <row r="1173" spans="1:11" s="21" customFormat="1" ht="19.95" customHeight="1" x14ac:dyDescent="0.25">
      <c r="A1173" s="13" t="str">
        <f>"45479"</f>
        <v>45479</v>
      </c>
      <c r="B1173" s="14" t="s">
        <v>1517</v>
      </c>
      <c r="C1173" s="13" t="str">
        <f>"22.8"</f>
        <v>22.8</v>
      </c>
      <c r="D1173" s="32">
        <f>(C1173*1.24778761061)+(0.4)</f>
        <v>28.849557521908</v>
      </c>
      <c r="E1173" s="33">
        <f>(C1173*1.16814159292)+(-1)</f>
        <v>25.633628318576001</v>
      </c>
      <c r="F1173" s="33">
        <f>(C1173*1.1238938053)+(-4.4)</f>
        <v>21.224778760840003</v>
      </c>
      <c r="G1173" s="33">
        <f>(C1173*1.06194690265)+(-5.9)</f>
        <v>18.312389380420001</v>
      </c>
      <c r="H1173" s="34">
        <f>(C1173*1.19469026548)+(0)</f>
        <v>27.238938052944</v>
      </c>
      <c r="I1173" s="34">
        <f>(C1173*1.16814159292)+(-2)</f>
        <v>24.633628318576001</v>
      </c>
      <c r="J1173" s="34">
        <f>(C1173*1.1238938053)+(-3.9)</f>
        <v>21.724778760840003</v>
      </c>
      <c r="K1173" s="34">
        <f>(C1173*1.07964601769)+(-5.6)</f>
        <v>19.015929203332</v>
      </c>
    </row>
    <row r="1174" spans="1:11" s="21" customFormat="1" ht="19.95" customHeight="1" x14ac:dyDescent="0.25">
      <c r="A1174" s="13" t="str">
        <f>"33695"</f>
        <v>33695</v>
      </c>
      <c r="B1174" s="14" t="s">
        <v>1518</v>
      </c>
      <c r="C1174" s="13" t="str">
        <f>"20.4"</f>
        <v>20.4</v>
      </c>
      <c r="D1174" s="32">
        <f>(C1174*1.24778761061)+(0.4)</f>
        <v>25.854867256443999</v>
      </c>
      <c r="E1174" s="33">
        <f>(C1174*1.16814159292)+(-1)</f>
        <v>22.830088495567999</v>
      </c>
      <c r="F1174" s="33">
        <f>(C1174*1.1238938053)+(-4.4)</f>
        <v>18.527433628120001</v>
      </c>
      <c r="G1174" s="33">
        <f>(C1174*1.06194690265)+(-5.9)</f>
        <v>15.763716814059995</v>
      </c>
      <c r="H1174" s="34">
        <f>(C1174*1.19469026548)+(0)</f>
        <v>24.371681415791997</v>
      </c>
      <c r="I1174" s="34">
        <f>(C1174*1.16814159292)+(-2)</f>
        <v>21.830088495567999</v>
      </c>
      <c r="J1174" s="34">
        <f>(C1174*1.1238938053)+(-3.9)</f>
        <v>19.027433628120001</v>
      </c>
      <c r="K1174" s="34">
        <f>(C1174*1.07964601769)+(-5.6)</f>
        <v>16.424778760876002</v>
      </c>
    </row>
    <row r="1175" spans="1:11" s="21" customFormat="1" ht="19.95" customHeight="1" x14ac:dyDescent="0.25">
      <c r="A1175" s="13" t="str">
        <f>"16794"</f>
        <v>16794</v>
      </c>
      <c r="B1175" s="14" t="s">
        <v>1519</v>
      </c>
      <c r="C1175" s="13" t="str">
        <f>"29.5"</f>
        <v>29.5</v>
      </c>
      <c r="D1175" s="32">
        <f>(C1175*1.24778761061)+(0.4)</f>
        <v>37.209734512994999</v>
      </c>
      <c r="E1175" s="33">
        <f>(C1175*1.16814159292)+(-1)</f>
        <v>33.460176991140003</v>
      </c>
      <c r="F1175" s="33">
        <f>(C1175*1.1238938053)+(-4.4)</f>
        <v>28.754867256350003</v>
      </c>
      <c r="G1175" s="33">
        <f>(C1175*1.06194690265)+(-5.9)</f>
        <v>25.427433628174995</v>
      </c>
      <c r="H1175" s="34">
        <f>(C1175*1.19469026548)+(0)</f>
        <v>35.243362831660001</v>
      </c>
      <c r="I1175" s="34">
        <f>(C1175*1.16814159292)+(-2)</f>
        <v>32.460176991140003</v>
      </c>
      <c r="J1175" s="34">
        <f>(C1175*1.1238938053)+(-3.9)</f>
        <v>29.254867256350003</v>
      </c>
      <c r="K1175" s="34">
        <f>(C1175*1.07964601769)+(-5.6)</f>
        <v>26.249557521855003</v>
      </c>
    </row>
    <row r="1176" spans="1:11" s="21" customFormat="1" ht="19.95" customHeight="1" x14ac:dyDescent="0.25">
      <c r="A1176" s="13" t="str">
        <f>"16795"</f>
        <v>16795</v>
      </c>
      <c r="B1176" s="14" t="s">
        <v>1520</v>
      </c>
      <c r="C1176" s="13" t="str">
        <f>"35.2"</f>
        <v>35.2</v>
      </c>
      <c r="D1176" s="32">
        <f>(C1176*1.24778761061)+(0.4)</f>
        <v>44.322123893472003</v>
      </c>
      <c r="E1176" s="33">
        <f>(C1176*1.16814159292)+(-1)</f>
        <v>40.118584070784003</v>
      </c>
      <c r="F1176" s="33">
        <f>(C1176*1.1238938053)+(-4.4)</f>
        <v>35.161061946560004</v>
      </c>
      <c r="G1176" s="33">
        <f>(C1176*1.06194690265)+(-5.9)</f>
        <v>31.480530973280004</v>
      </c>
      <c r="H1176" s="34">
        <f>(C1176*1.19469026548)+(0)</f>
        <v>42.053097344896003</v>
      </c>
      <c r="I1176" s="34">
        <f>(C1176*1.16814159292)+(-2)</f>
        <v>39.118584070784003</v>
      </c>
      <c r="J1176" s="34">
        <f>(C1176*1.1238938053)+(-3.9)</f>
        <v>35.661061946560004</v>
      </c>
      <c r="K1176" s="34">
        <f>(C1176*1.07964601769)+(-5.6)</f>
        <v>32.403539822688003</v>
      </c>
    </row>
    <row r="1177" spans="1:11" s="21" customFormat="1" ht="19.95" customHeight="1" x14ac:dyDescent="0.25">
      <c r="A1177" s="13" t="str">
        <f>"75800"</f>
        <v>75800</v>
      </c>
      <c r="B1177" s="14" t="s">
        <v>1521</v>
      </c>
      <c r="C1177" s="13" t="str">
        <f>"15.8"</f>
        <v>15.8</v>
      </c>
      <c r="D1177" s="32">
        <f>(C1177*1.24778761061)+(0.4)</f>
        <v>20.115044247638</v>
      </c>
      <c r="E1177" s="33">
        <f>(C1177*1.16814159292)+(-1)</f>
        <v>17.456637168136002</v>
      </c>
      <c r="F1177" s="33">
        <f>(C1177*1.1238938053)+(-4.4)</f>
        <v>13.357522123740003</v>
      </c>
      <c r="G1177" s="33">
        <f>(C1177*1.06194690265)+(-5.9)</f>
        <v>10.87876106187</v>
      </c>
      <c r="H1177" s="34">
        <f>(C1177*1.19469026548)+(0)</f>
        <v>18.876106194584001</v>
      </c>
      <c r="I1177" s="34">
        <f>(C1177*1.16814159292)+(-2)</f>
        <v>16.456637168136002</v>
      </c>
      <c r="J1177" s="34">
        <f>(C1177*1.1238938053)+(-3.9)</f>
        <v>13.857522123740003</v>
      </c>
      <c r="K1177" s="34">
        <f>(C1177*1.07964601769)+(-5.6)</f>
        <v>11.458407079502001</v>
      </c>
    </row>
    <row r="1178" spans="1:11" s="21" customFormat="1" ht="19.95" customHeight="1" x14ac:dyDescent="0.25">
      <c r="A1178" s="13" t="str">
        <f>"1002605"</f>
        <v>1002605</v>
      </c>
      <c r="B1178" s="14" t="s">
        <v>1522</v>
      </c>
      <c r="C1178" s="13" t="str">
        <f>"23.3"</f>
        <v>23.3</v>
      </c>
      <c r="D1178" s="32">
        <f>(C1178*1.24778761061)+(0.4)</f>
        <v>29.473451327213002</v>
      </c>
      <c r="E1178" s="33">
        <f>(C1178*1.16814159292)+(-1)</f>
        <v>26.217699115036002</v>
      </c>
      <c r="F1178" s="33">
        <f>(C1178*1.1238938053)+(-4.4)</f>
        <v>21.786725663490003</v>
      </c>
      <c r="G1178" s="33">
        <f>(C1178*1.06194690265)+(-5.9)</f>
        <v>18.843362831744997</v>
      </c>
      <c r="H1178" s="34">
        <f>(C1178*1.19469026548)+(0)</f>
        <v>27.836283185684</v>
      </c>
      <c r="I1178" s="34">
        <f>(C1178*1.16814159292)+(-2)</f>
        <v>25.217699115036002</v>
      </c>
      <c r="J1178" s="34">
        <f>(C1178*1.1238938053)+(-3.9)</f>
        <v>22.286725663490003</v>
      </c>
      <c r="K1178" s="34">
        <f>(C1178*1.07964601769)+(-5.6)</f>
        <v>19.555752212177005</v>
      </c>
    </row>
    <row r="1179" spans="1:11" s="21" customFormat="1" ht="19.95" customHeight="1" x14ac:dyDescent="0.25">
      <c r="A1179" s="13" t="str">
        <f>"1000937"</f>
        <v>1000937</v>
      </c>
      <c r="B1179" s="14" t="s">
        <v>1523</v>
      </c>
      <c r="C1179" s="13" t="str">
        <f>"38.3"</f>
        <v>38.3</v>
      </c>
      <c r="D1179" s="32">
        <f>(C1179*1.24778761061)+(0.4)</f>
        <v>48.190265486362996</v>
      </c>
      <c r="E1179" s="33">
        <f>(C1179*1.16814159292)+(-1)</f>
        <v>43.739823008835998</v>
      </c>
      <c r="F1179" s="33">
        <f>(C1179*1.1238938053)+(-4.4)</f>
        <v>38.64513274299</v>
      </c>
      <c r="G1179" s="33">
        <f>(C1179*1.06194690265)+(-5.9)</f>
        <v>34.772566371494996</v>
      </c>
      <c r="H1179" s="34">
        <f>(C1179*1.19469026548)+(0)</f>
        <v>45.756637167883994</v>
      </c>
      <c r="I1179" s="34">
        <f>(C1179*1.16814159292)+(-2)</f>
        <v>42.739823008835998</v>
      </c>
      <c r="J1179" s="34">
        <f>(C1179*1.1238938053)+(-3.9)</f>
        <v>39.14513274299</v>
      </c>
      <c r="K1179" s="34">
        <f>(C1179*1.07964601769)+(-5.6)</f>
        <v>35.750442477526995</v>
      </c>
    </row>
    <row r="1180" spans="1:11" s="21" customFormat="1" ht="19.95" customHeight="1" x14ac:dyDescent="0.25">
      <c r="A1180" s="13" t="str">
        <f>"48888"</f>
        <v>48888</v>
      </c>
      <c r="B1180" s="14" t="s">
        <v>1524</v>
      </c>
      <c r="C1180" s="13" t="str">
        <f>"17.0"</f>
        <v>17.0</v>
      </c>
      <c r="D1180" s="32">
        <f>(C1180*1.24778761061)+(0.4)</f>
        <v>21.612389380370001</v>
      </c>
      <c r="E1180" s="33">
        <f>(C1180*1.16814159292)+(-1)</f>
        <v>18.858407079640003</v>
      </c>
      <c r="F1180" s="33">
        <f>(C1180*1.1238938053)+(-4.4)</f>
        <v>14.7061946901</v>
      </c>
      <c r="G1180" s="33">
        <f>(C1180*1.06194690265)+(-5.9)</f>
        <v>12.153097345049998</v>
      </c>
      <c r="H1180" s="34">
        <f>(C1180*1.19469026548)+(0)</f>
        <v>20.309734513159999</v>
      </c>
      <c r="I1180" s="34">
        <f>(C1180*1.16814159292)+(-2)</f>
        <v>17.858407079640003</v>
      </c>
      <c r="J1180" s="34">
        <f>(C1180*1.1238938053)+(-3.9)</f>
        <v>15.2061946901</v>
      </c>
      <c r="K1180" s="34">
        <f>(C1180*1.07964601769)+(-5.6)</f>
        <v>12.75398230073</v>
      </c>
    </row>
    <row r="1181" spans="1:11" s="21" customFormat="1" ht="19.95" customHeight="1" x14ac:dyDescent="0.25">
      <c r="A1181" s="13" t="str">
        <f>"5159"</f>
        <v>5159</v>
      </c>
      <c r="B1181" s="14" t="s">
        <v>1525</v>
      </c>
      <c r="C1181" s="13" t="str">
        <f>"7.5"</f>
        <v>7.5</v>
      </c>
      <c r="D1181" s="32">
        <f>(C1181*1.24778761061)+(0.4)</f>
        <v>9.7584070795750009</v>
      </c>
      <c r="E1181" s="33">
        <f>(C1181*1.16814159292)+(-1)</f>
        <v>7.7610619469</v>
      </c>
      <c r="F1181" s="33">
        <f>(C1181*1.1238938053)+(-4.4)</f>
        <v>4.0292035397500001</v>
      </c>
      <c r="G1181" s="33">
        <f>(C1181*1.06194690265)+(-5.9)</f>
        <v>2.064601769874999</v>
      </c>
      <c r="H1181" s="34">
        <f>(C1181*1.19469026548)+(0)</f>
        <v>8.9601769911000009</v>
      </c>
      <c r="I1181" s="34">
        <f>(C1181*1.16814159292)+(-2)</f>
        <v>6.7610619469</v>
      </c>
      <c r="J1181" s="34">
        <f>(C1181*1.1238938053)+(-3.9)</f>
        <v>4.5292035397500001</v>
      </c>
      <c r="K1181" s="34">
        <f>(C1181*1.07964601769)+(-5.6)</f>
        <v>2.4973451326750009</v>
      </c>
    </row>
    <row r="1182" spans="1:11" s="21" customFormat="1" ht="19.95" customHeight="1" x14ac:dyDescent="0.25">
      <c r="A1182" s="13" t="str">
        <f>"75971"</f>
        <v>75971</v>
      </c>
      <c r="B1182" s="14" t="s">
        <v>1526</v>
      </c>
      <c r="C1182" s="13" t="str">
        <f>"9.0"</f>
        <v>9.0</v>
      </c>
      <c r="D1182" s="32">
        <f>(C1182*1.24778761061)+(0.4)</f>
        <v>11.630088495490002</v>
      </c>
      <c r="E1182" s="33">
        <f>(C1182*1.16814159292)+(-1)</f>
        <v>9.5132743362800003</v>
      </c>
      <c r="F1182" s="33">
        <f>(C1182*1.1238938053)+(-4.4)</f>
        <v>5.7150442476999999</v>
      </c>
      <c r="G1182" s="33">
        <f>(C1182*1.06194690265)+(-5.9)</f>
        <v>3.6575221238499989</v>
      </c>
      <c r="H1182" s="34">
        <f>(C1182*1.19469026548)+(0)</f>
        <v>10.75221238932</v>
      </c>
      <c r="I1182" s="34">
        <f>(C1182*1.16814159292)+(-2)</f>
        <v>8.5132743362800003</v>
      </c>
      <c r="J1182" s="34">
        <f>(C1182*1.1238938053)+(-3.9)</f>
        <v>6.2150442476999999</v>
      </c>
      <c r="K1182" s="34">
        <f>(C1182*1.07964601769)+(-5.6)</f>
        <v>4.1168141592099996</v>
      </c>
    </row>
    <row r="1183" spans="1:11" s="21" customFormat="1" ht="19.95" customHeight="1" x14ac:dyDescent="0.25">
      <c r="A1183" s="13" t="str">
        <f>"16803"</f>
        <v>16803</v>
      </c>
      <c r="B1183" s="14" t="s">
        <v>1527</v>
      </c>
      <c r="C1183" s="13" t="str">
        <f>"12.2"</f>
        <v>12.2</v>
      </c>
      <c r="D1183" s="32">
        <f>(C1183*1.24778761061)+(0.4)</f>
        <v>15.623008849442</v>
      </c>
      <c r="E1183" s="33">
        <f>(C1183*1.16814159292)+(-1)</f>
        <v>13.251327433624001</v>
      </c>
      <c r="F1183" s="33">
        <f>(C1183*1.1238938053)+(-4.4)</f>
        <v>9.3115044246599989</v>
      </c>
      <c r="G1183" s="33">
        <f>(C1183*1.06194690265)+(-5.9)</f>
        <v>7.0557522123299972</v>
      </c>
      <c r="H1183" s="34">
        <f>(C1183*1.19469026548)+(0)</f>
        <v>14.575221238855999</v>
      </c>
      <c r="I1183" s="34">
        <f>(C1183*1.16814159292)+(-2)</f>
        <v>12.251327433624001</v>
      </c>
      <c r="J1183" s="34">
        <f>(C1183*1.1238938053)+(-3.9)</f>
        <v>9.8115044246599989</v>
      </c>
      <c r="K1183" s="34">
        <f>(C1183*1.07964601769)+(-5.6)</f>
        <v>7.5716814158180004</v>
      </c>
    </row>
    <row r="1184" spans="1:11" s="21" customFormat="1" ht="19.95" customHeight="1" x14ac:dyDescent="0.25">
      <c r="A1184" s="13" t="str">
        <f>"47383"</f>
        <v>47383</v>
      </c>
      <c r="B1184" s="14" t="s">
        <v>1528</v>
      </c>
      <c r="C1184" s="13" t="str">
        <f>"13.8"</f>
        <v>13.8</v>
      </c>
      <c r="D1184" s="32">
        <f>(C1184*1.24778761061)+(0.4)</f>
        <v>17.619469026418002</v>
      </c>
      <c r="E1184" s="33">
        <f>(C1184*1.16814159292)+(-1)</f>
        <v>15.120353982296002</v>
      </c>
      <c r="F1184" s="33">
        <f>(C1184*1.1238938053)+(-4.4)</f>
        <v>11.109734513140001</v>
      </c>
      <c r="G1184" s="33">
        <f>(C1184*1.06194690265)+(-5.9)</f>
        <v>8.7548672565699999</v>
      </c>
      <c r="H1184" s="34">
        <f>(C1184*1.19469026548)+(0)</f>
        <v>16.486725663624</v>
      </c>
      <c r="I1184" s="34">
        <f>(C1184*1.16814159292)+(-2)</f>
        <v>14.120353982296002</v>
      </c>
      <c r="J1184" s="34">
        <f>(C1184*1.1238938053)+(-3.9)</f>
        <v>11.609734513140001</v>
      </c>
      <c r="K1184" s="34">
        <f>(C1184*1.07964601769)+(-5.6)</f>
        <v>9.2991150441220007</v>
      </c>
    </row>
    <row r="1185" spans="1:11" s="21" customFormat="1" ht="19.95" customHeight="1" x14ac:dyDescent="0.25">
      <c r="A1185" s="13" t="str">
        <f>"16806"</f>
        <v>16806</v>
      </c>
      <c r="B1185" s="14" t="s">
        <v>1529</v>
      </c>
      <c r="C1185" s="13" t="str">
        <f>"7.2"</f>
        <v>7.2</v>
      </c>
      <c r="D1185" s="32">
        <f>(C1185*1.24778761061)+(0.4)</f>
        <v>9.3840707963920007</v>
      </c>
      <c r="E1185" s="33">
        <f>(C1185*1.16814159292)+(-1)</f>
        <v>7.4106194690240006</v>
      </c>
      <c r="F1185" s="33">
        <f>(C1185*1.1238938053)+(-4.4)</f>
        <v>3.6920353981599998</v>
      </c>
      <c r="G1185" s="33">
        <f>(C1185*1.06194690265)+(-5.9)</f>
        <v>1.7460176990799994</v>
      </c>
      <c r="H1185" s="34">
        <f>(C1185*1.19469026548)+(0)</f>
        <v>8.6017699114559996</v>
      </c>
      <c r="I1185" s="34">
        <f>(C1185*1.16814159292)+(-2)</f>
        <v>6.4106194690240006</v>
      </c>
      <c r="J1185" s="34">
        <f>(C1185*1.1238938053)+(-3.9)</f>
        <v>4.1920353981599998</v>
      </c>
      <c r="K1185" s="34">
        <f>(C1185*1.07964601769)+(-5.6)</f>
        <v>2.1734513273680003</v>
      </c>
    </row>
    <row r="1186" spans="1:11" s="21" customFormat="1" ht="19.95" customHeight="1" x14ac:dyDescent="0.25">
      <c r="A1186" s="13" t="str">
        <f>"74128"</f>
        <v>74128</v>
      </c>
      <c r="B1186" s="14" t="s">
        <v>1530</v>
      </c>
      <c r="C1186" s="13" t="str">
        <f>"28.9"</f>
        <v>28.9</v>
      </c>
      <c r="D1186" s="32">
        <f>(C1186*1.24778761061)+(0.4)</f>
        <v>36.461061946629002</v>
      </c>
      <c r="E1186" s="33">
        <f>(C1186*1.16814159292)+(-1)</f>
        <v>32.759292035388</v>
      </c>
      <c r="F1186" s="33">
        <f>(C1186*1.1238938053)+(-4.4)</f>
        <v>28.080530973169999</v>
      </c>
      <c r="G1186" s="33">
        <f>(C1186*1.06194690265)+(-5.9)</f>
        <v>24.790265486584993</v>
      </c>
      <c r="H1186" s="34">
        <f>(C1186*1.19469026548)+(0)</f>
        <v>34.526548672372002</v>
      </c>
      <c r="I1186" s="34">
        <f>(C1186*1.16814159292)+(-2)</f>
        <v>31.759292035388</v>
      </c>
      <c r="J1186" s="34">
        <f>(C1186*1.1238938053)+(-3.9)</f>
        <v>28.580530973169999</v>
      </c>
      <c r="K1186" s="34">
        <f>(C1186*1.07964601769)+(-5.6)</f>
        <v>25.601769911241</v>
      </c>
    </row>
    <row r="1187" spans="1:11" s="21" customFormat="1" ht="19.95" customHeight="1" x14ac:dyDescent="0.25">
      <c r="A1187" s="13" t="str">
        <f>"74129"</f>
        <v>74129</v>
      </c>
      <c r="B1187" s="14" t="s">
        <v>1531</v>
      </c>
      <c r="C1187" s="13" t="str">
        <f>"25.5"</f>
        <v>25.5</v>
      </c>
      <c r="D1187" s="32">
        <f>(C1187*1.24778761061)+(0.4)</f>
        <v>32.218584070555004</v>
      </c>
      <c r="E1187" s="33">
        <f>(C1187*1.16814159292)+(-1)</f>
        <v>28.787610619460001</v>
      </c>
      <c r="F1187" s="33">
        <f>(C1187*1.1238938053)+(-4.4)</f>
        <v>24.259292035150004</v>
      </c>
      <c r="G1187" s="33">
        <f>(C1187*1.06194690265)+(-5.9)</f>
        <v>21.179646017574996</v>
      </c>
      <c r="H1187" s="34">
        <f>(C1187*1.19469026548)+(0)</f>
        <v>30.46460176974</v>
      </c>
      <c r="I1187" s="34">
        <f>(C1187*1.16814159292)+(-2)</f>
        <v>27.787610619460001</v>
      </c>
      <c r="J1187" s="34">
        <f>(C1187*1.1238938053)+(-3.9)</f>
        <v>24.759292035150004</v>
      </c>
      <c r="K1187" s="34">
        <f>(C1187*1.07964601769)+(-5.6)</f>
        <v>21.930973451094999</v>
      </c>
    </row>
    <row r="1188" spans="1:11" s="21" customFormat="1" ht="19.95" customHeight="1" x14ac:dyDescent="0.25">
      <c r="A1188" s="13" t="str">
        <f>"16807"</f>
        <v>16807</v>
      </c>
      <c r="B1188" s="14" t="s">
        <v>1532</v>
      </c>
      <c r="C1188" s="13" t="str">
        <f>"14.4"</f>
        <v>14.4</v>
      </c>
      <c r="D1188" s="32">
        <f>(C1188*1.24778761061)+(0.4)</f>
        <v>18.368141592783999</v>
      </c>
      <c r="E1188" s="33">
        <f>(C1188*1.16814159292)+(-1)</f>
        <v>15.821238938048001</v>
      </c>
      <c r="F1188" s="33">
        <f>(C1188*1.1238938053)+(-4.4)</f>
        <v>11.78407079632</v>
      </c>
      <c r="G1188" s="33">
        <f>(C1188*1.06194690265)+(-5.9)</f>
        <v>9.3920353981599991</v>
      </c>
      <c r="H1188" s="34">
        <f>(C1188*1.19469026548)+(0)</f>
        <v>17.203539822911999</v>
      </c>
      <c r="I1188" s="34">
        <f>(C1188*1.16814159292)+(-2)</f>
        <v>14.821238938048001</v>
      </c>
      <c r="J1188" s="34">
        <f>(C1188*1.1238938053)+(-3.9)</f>
        <v>12.28407079632</v>
      </c>
      <c r="K1188" s="34">
        <f>(C1188*1.07964601769)+(-5.6)</f>
        <v>9.9469026547360002</v>
      </c>
    </row>
    <row r="1189" spans="1:11" s="21" customFormat="1" ht="19.95" customHeight="1" x14ac:dyDescent="0.25">
      <c r="A1189" s="13" t="str">
        <f>"7175"</f>
        <v>7175</v>
      </c>
      <c r="B1189" s="14" t="s">
        <v>1533</v>
      </c>
      <c r="C1189" s="13" t="str">
        <f>"13.6"</f>
        <v>13.6</v>
      </c>
      <c r="D1189" s="32">
        <f>(C1189*1.24778761061)+(0.4)</f>
        <v>17.369911504295999</v>
      </c>
      <c r="E1189" s="33">
        <f>(C1189*1.16814159292)+(-1)</f>
        <v>14.886725663712001</v>
      </c>
      <c r="F1189" s="33">
        <f>(C1189*1.1238938053)+(-4.4)</f>
        <v>10.88495575208</v>
      </c>
      <c r="G1189" s="33">
        <f>(C1189*1.06194690265)+(-5.9)</f>
        <v>8.5424778760399978</v>
      </c>
      <c r="H1189" s="34">
        <f>(C1189*1.19469026548)+(0)</f>
        <v>16.247787610528</v>
      </c>
      <c r="I1189" s="34">
        <f>(C1189*1.16814159292)+(-2)</f>
        <v>13.886725663712001</v>
      </c>
      <c r="J1189" s="34">
        <f>(C1189*1.1238938053)+(-3.9)</f>
        <v>11.38495575208</v>
      </c>
      <c r="K1189" s="34">
        <f>(C1189*1.07964601769)+(-5.6)</f>
        <v>9.0831858405840009</v>
      </c>
    </row>
    <row r="1190" spans="1:11" s="21" customFormat="1" ht="19.95" customHeight="1" x14ac:dyDescent="0.25">
      <c r="A1190" s="13" t="str">
        <f>"042378"</f>
        <v>042378</v>
      </c>
      <c r="B1190" s="14" t="s">
        <v>1534</v>
      </c>
      <c r="C1190" s="13" t="str">
        <f>"8.2"</f>
        <v>8.2</v>
      </c>
      <c r="D1190" s="32">
        <f>(C1190*1.24778761061)+(0.4)</f>
        <v>10.631858407001999</v>
      </c>
      <c r="E1190" s="33">
        <f>(C1190*1.16814159292)+(-1)</f>
        <v>8.5787610619440002</v>
      </c>
      <c r="F1190" s="33">
        <f>(C1190*1.1238938053)+(-4.4)</f>
        <v>4.8159292034599996</v>
      </c>
      <c r="G1190" s="33">
        <f>(C1190*1.06194690265)+(-5.9)</f>
        <v>2.8079646017299975</v>
      </c>
      <c r="H1190" s="34">
        <f>(C1190*1.19469026548)+(0)</f>
        <v>9.7964601769359998</v>
      </c>
      <c r="I1190" s="34">
        <f>(C1190*1.16814159292)+(-2)</f>
        <v>7.5787610619440002</v>
      </c>
      <c r="J1190" s="34">
        <f>(C1190*1.1238938053)+(-3.9)</f>
        <v>5.3159292034599996</v>
      </c>
      <c r="K1190" s="34">
        <f>(C1190*1.07964601769)+(-5.6)</f>
        <v>3.2530973450580003</v>
      </c>
    </row>
    <row r="1191" spans="1:11" s="21" customFormat="1" ht="19.95" customHeight="1" x14ac:dyDescent="0.25">
      <c r="A1191" s="13" t="str">
        <f>"36052"</f>
        <v>36052</v>
      </c>
      <c r="B1191" s="14" t="s">
        <v>1535</v>
      </c>
      <c r="C1191" s="13" t="str">
        <f>"17.2"</f>
        <v>17.2</v>
      </c>
      <c r="D1191" s="32">
        <f>(C1191*1.24778761061)+(0.4)</f>
        <v>21.861946902492001</v>
      </c>
      <c r="E1191" s="33">
        <f>(C1191*1.16814159292)+(-1)</f>
        <v>19.092035398224002</v>
      </c>
      <c r="F1191" s="33">
        <f>(C1191*1.1238938053)+(-4.4)</f>
        <v>14.930973451159998</v>
      </c>
      <c r="G1191" s="33">
        <f>(C1191*1.06194690265)+(-5.9)</f>
        <v>12.365486725579997</v>
      </c>
      <c r="H1191" s="34">
        <f>(C1191*1.19469026548)+(0)</f>
        <v>20.548672566255998</v>
      </c>
      <c r="I1191" s="34">
        <f>(C1191*1.16814159292)+(-2)</f>
        <v>18.092035398224002</v>
      </c>
      <c r="J1191" s="34">
        <f>(C1191*1.1238938053)+(-3.9)</f>
        <v>15.430973451159998</v>
      </c>
      <c r="K1191" s="34">
        <f>(C1191*1.07964601769)+(-5.6)</f>
        <v>12.969911504268</v>
      </c>
    </row>
    <row r="1192" spans="1:11" s="21" customFormat="1" ht="19.95" customHeight="1" x14ac:dyDescent="0.25">
      <c r="A1192" s="13" t="str">
        <f>"70098"</f>
        <v>70098</v>
      </c>
      <c r="B1192" s="14" t="s">
        <v>1536</v>
      </c>
      <c r="C1192" s="13" t="str">
        <f>"17.3"</f>
        <v>17.3</v>
      </c>
      <c r="D1192" s="32">
        <f>(C1192*1.24778761061)+(0.4)</f>
        <v>21.986725663553003</v>
      </c>
      <c r="E1192" s="33">
        <f>(C1192*1.16814159292)+(-1)</f>
        <v>19.208849557516004</v>
      </c>
      <c r="F1192" s="33">
        <f>(C1192*1.1238938053)+(-4.4)</f>
        <v>15.043362831690002</v>
      </c>
      <c r="G1192" s="33">
        <f>(C1192*1.06194690265)+(-5.9)</f>
        <v>12.471681415845</v>
      </c>
      <c r="H1192" s="34">
        <f>(C1192*1.19469026548)+(0)</f>
        <v>20.668141592804002</v>
      </c>
      <c r="I1192" s="34">
        <f>(C1192*1.16814159292)+(-2)</f>
        <v>18.208849557516004</v>
      </c>
      <c r="J1192" s="34">
        <f>(C1192*1.1238938053)+(-3.9)</f>
        <v>15.543362831690002</v>
      </c>
      <c r="K1192" s="34">
        <f>(C1192*1.07964601769)+(-5.6)</f>
        <v>13.077876106037001</v>
      </c>
    </row>
    <row r="1193" spans="1:11" s="21" customFormat="1" ht="19.95" customHeight="1" x14ac:dyDescent="0.25">
      <c r="A1193" s="13" t="str">
        <f>"16812"</f>
        <v>16812</v>
      </c>
      <c r="B1193" s="14" t="s">
        <v>1537</v>
      </c>
      <c r="C1193" s="13" t="str">
        <f>"21.4"</f>
        <v>21.4</v>
      </c>
      <c r="D1193" s="32">
        <f>(C1193*1.24778761061)+(0.4)</f>
        <v>27.102654867054</v>
      </c>
      <c r="E1193" s="33">
        <f>(C1193*1.16814159292)+(-1)</f>
        <v>23.998230088488</v>
      </c>
      <c r="F1193" s="33">
        <f>(C1193*1.1238938053)+(-4.4)</f>
        <v>19.651327433420001</v>
      </c>
      <c r="G1193" s="33">
        <f>(C1193*1.06194690265)+(-5.9)</f>
        <v>16.825663716709997</v>
      </c>
      <c r="H1193" s="34">
        <f>(C1193*1.19469026548)+(0)</f>
        <v>25.566371681271999</v>
      </c>
      <c r="I1193" s="34">
        <f>(C1193*1.16814159292)+(-2)</f>
        <v>22.998230088488</v>
      </c>
      <c r="J1193" s="34">
        <f>(C1193*1.1238938053)+(-3.9)</f>
        <v>20.151327433420001</v>
      </c>
      <c r="K1193" s="34">
        <f>(C1193*1.07964601769)+(-5.6)</f>
        <v>17.504424778565998</v>
      </c>
    </row>
    <row r="1194" spans="1:11" s="21" customFormat="1" ht="19.95" customHeight="1" x14ac:dyDescent="0.25">
      <c r="A1194" s="13" t="str">
        <f>"63020"</f>
        <v>63020</v>
      </c>
      <c r="B1194" s="14" t="s">
        <v>1538</v>
      </c>
      <c r="C1194" s="13" t="str">
        <f>"22.3"</f>
        <v>22.3</v>
      </c>
      <c r="D1194" s="32">
        <f>(C1194*1.24778761061)+(0.4)</f>
        <v>28.225663716603002</v>
      </c>
      <c r="E1194" s="33">
        <f>(C1194*1.16814159292)+(-1)</f>
        <v>25.049557522116004</v>
      </c>
      <c r="F1194" s="33">
        <f>(C1194*1.1238938053)+(-4.4)</f>
        <v>20.662831858190003</v>
      </c>
      <c r="G1194" s="33">
        <f>(C1194*1.06194690265)+(-5.9)</f>
        <v>17.781415929094997</v>
      </c>
      <c r="H1194" s="34">
        <f>(C1194*1.19469026548)+(0)</f>
        <v>26.641592920204001</v>
      </c>
      <c r="I1194" s="34">
        <f>(C1194*1.16814159292)+(-2)</f>
        <v>24.049557522116004</v>
      </c>
      <c r="J1194" s="34">
        <f>(C1194*1.1238938053)+(-3.9)</f>
        <v>21.162831858190003</v>
      </c>
      <c r="K1194" s="34">
        <f>(C1194*1.07964601769)+(-5.6)</f>
        <v>18.476106194487002</v>
      </c>
    </row>
    <row r="1195" spans="1:11" s="21" customFormat="1" ht="19.95" customHeight="1" x14ac:dyDescent="0.25">
      <c r="A1195" s="13" t="str">
        <f>"1006827"</f>
        <v>1006827</v>
      </c>
      <c r="B1195" s="14" t="s">
        <v>1539</v>
      </c>
      <c r="C1195" s="13" t="str">
        <f>"11.4"</f>
        <v>11.4</v>
      </c>
      <c r="D1195" s="32">
        <f>(C1195*1.24778761061)+(0.4)</f>
        <v>14.624778760954001</v>
      </c>
      <c r="E1195" s="33">
        <f>(C1195*1.16814159292)+(-1)</f>
        <v>12.316814159288</v>
      </c>
      <c r="F1195" s="33">
        <f>(C1195*1.1238938053)+(-4.4)</f>
        <v>8.4123893804200005</v>
      </c>
      <c r="G1195" s="33">
        <f>(C1195*1.06194690265)+(-5.9)</f>
        <v>6.2061946902099994</v>
      </c>
      <c r="H1195" s="34">
        <f>(C1195*1.19469026548)+(0)</f>
        <v>13.619469026472</v>
      </c>
      <c r="I1195" s="34">
        <f>(C1195*1.16814159292)+(-2)</f>
        <v>11.316814159288</v>
      </c>
      <c r="J1195" s="34">
        <f>(C1195*1.1238938053)+(-3.9)</f>
        <v>8.9123893804200005</v>
      </c>
      <c r="K1195" s="34">
        <f>(C1195*1.07964601769)+(-5.6)</f>
        <v>6.7079646016660011</v>
      </c>
    </row>
    <row r="1196" spans="1:11" s="21" customFormat="1" ht="19.95" customHeight="1" x14ac:dyDescent="0.25">
      <c r="A1196" s="13" t="str">
        <f>"16813"</f>
        <v>16813</v>
      </c>
      <c r="B1196" s="14" t="s">
        <v>1540</v>
      </c>
      <c r="C1196" s="13" t="str">
        <f>"20.2"</f>
        <v>20.2</v>
      </c>
      <c r="D1196" s="32">
        <f>(C1196*1.24778761061)+(0.4)</f>
        <v>25.605309734321999</v>
      </c>
      <c r="E1196" s="33">
        <f>(C1196*1.16814159292)+(-1)</f>
        <v>22.596460176983999</v>
      </c>
      <c r="F1196" s="33">
        <f>(C1196*1.1238938053)+(-4.4)</f>
        <v>18.302654867059999</v>
      </c>
      <c r="G1196" s="33">
        <f>(C1196*1.06194690265)+(-5.9)</f>
        <v>15.551327433529996</v>
      </c>
      <c r="H1196" s="34">
        <f>(C1196*1.19469026548)+(0)</f>
        <v>24.132743362696001</v>
      </c>
      <c r="I1196" s="34">
        <f>(C1196*1.16814159292)+(-2)</f>
        <v>21.596460176983999</v>
      </c>
      <c r="J1196" s="34">
        <f>(C1196*1.1238938053)+(-3.9)</f>
        <v>18.802654867060003</v>
      </c>
      <c r="K1196" s="34">
        <f>(C1196*1.07964601769)+(-5.6)</f>
        <v>16.208849557337999</v>
      </c>
    </row>
    <row r="1197" spans="1:11" s="21" customFormat="1" ht="19.95" customHeight="1" x14ac:dyDescent="0.25">
      <c r="A1197" s="13" t="str">
        <f>"16814"</f>
        <v>16814</v>
      </c>
      <c r="B1197" s="14" t="s">
        <v>1541</v>
      </c>
      <c r="C1197" s="13" t="str">
        <f>"35.4"</f>
        <v>35.4</v>
      </c>
      <c r="D1197" s="32">
        <f>(C1197*1.24778761061)+(0.4)</f>
        <v>44.571681415594</v>
      </c>
      <c r="E1197" s="33">
        <f>(C1197*1.16814159292)+(-1)</f>
        <v>40.352212389367999</v>
      </c>
      <c r="F1197" s="33">
        <f>(C1197*1.1238938053)+(-4.4)</f>
        <v>35.385840707619998</v>
      </c>
      <c r="G1197" s="33">
        <f>(C1197*1.06194690265)+(-5.9)</f>
        <v>31.692920353809996</v>
      </c>
      <c r="H1197" s="34">
        <f>(C1197*1.19469026548)+(0)</f>
        <v>42.292035397992002</v>
      </c>
      <c r="I1197" s="34">
        <f>(C1197*1.16814159292)+(-2)</f>
        <v>39.352212389367999</v>
      </c>
      <c r="J1197" s="34">
        <f>(C1197*1.1238938053)+(-3.9)</f>
        <v>35.885840707619998</v>
      </c>
      <c r="K1197" s="34">
        <f>(C1197*1.07964601769)+(-5.6)</f>
        <v>32.619469026226</v>
      </c>
    </row>
    <row r="1198" spans="1:11" s="21" customFormat="1" ht="19.95" customHeight="1" x14ac:dyDescent="0.25">
      <c r="A1198" s="13" t="str">
        <f>"16825"</f>
        <v>16825</v>
      </c>
      <c r="B1198" s="14" t="s">
        <v>1542</v>
      </c>
      <c r="C1198" s="13" t="str">
        <f>"11.6"</f>
        <v>11.6</v>
      </c>
      <c r="D1198" s="32">
        <f>(C1198*1.24778761061)+(0.4)</f>
        <v>14.874336283076001</v>
      </c>
      <c r="E1198" s="33">
        <f>(C1198*1.16814159292)+(-1)</f>
        <v>12.550442477872</v>
      </c>
      <c r="F1198" s="33">
        <f>(C1198*1.1238938053)+(-4.4)</f>
        <v>8.6371681414800001</v>
      </c>
      <c r="G1198" s="33">
        <f>(C1198*1.06194690265)+(-5.9)</f>
        <v>6.4185840707399979</v>
      </c>
      <c r="H1198" s="34">
        <f>(C1198*1.19469026548)+(0)</f>
        <v>13.858407079568</v>
      </c>
      <c r="I1198" s="34">
        <f>(C1198*1.16814159292)+(-2)</f>
        <v>11.550442477872</v>
      </c>
      <c r="J1198" s="34">
        <f>(C1198*1.1238938053)+(-3.9)</f>
        <v>9.1371681414800001</v>
      </c>
      <c r="K1198" s="34">
        <f>(C1198*1.07964601769)+(-5.6)</f>
        <v>6.9238938052040009</v>
      </c>
    </row>
    <row r="1199" spans="1:11" s="21" customFormat="1" ht="19.95" customHeight="1" x14ac:dyDescent="0.25">
      <c r="A1199" s="13" t="str">
        <f>"16826"</f>
        <v>16826</v>
      </c>
      <c r="B1199" s="14" t="s">
        <v>1543</v>
      </c>
      <c r="C1199" s="13" t="str">
        <f>"9.8"</f>
        <v>9.8</v>
      </c>
      <c r="D1199" s="32">
        <f>(C1199*1.24778761061)+(0.4)</f>
        <v>12.628318583978002</v>
      </c>
      <c r="E1199" s="33">
        <f>(C1199*1.16814159292)+(-1)</f>
        <v>10.447787610616002</v>
      </c>
      <c r="F1199" s="33">
        <f>(C1199*1.1238938053)+(-4.4)</f>
        <v>6.6141592919400001</v>
      </c>
      <c r="G1199" s="33">
        <f>(C1199*1.06194690265)+(-5.9)</f>
        <v>4.5070796459700002</v>
      </c>
      <c r="H1199" s="34">
        <f>(C1199*1.19469026548)+(0)</f>
        <v>11.707964601704001</v>
      </c>
      <c r="I1199" s="34">
        <f>(C1199*1.16814159292)+(-2)</f>
        <v>9.4477876106160021</v>
      </c>
      <c r="J1199" s="34">
        <f>(C1199*1.1238938053)+(-3.9)</f>
        <v>7.1141592919400001</v>
      </c>
      <c r="K1199" s="34">
        <f>(C1199*1.07964601769)+(-5.6)</f>
        <v>4.9805309733620007</v>
      </c>
    </row>
    <row r="1200" spans="1:11" s="21" customFormat="1" ht="19.95" customHeight="1" x14ac:dyDescent="0.25">
      <c r="A1200" s="13" t="str">
        <f>"73796"</f>
        <v>73796</v>
      </c>
      <c r="B1200" s="14" t="s">
        <v>1544</v>
      </c>
      <c r="C1200" s="13" t="str">
        <f>"20.1"</f>
        <v>20.1</v>
      </c>
      <c r="D1200" s="32">
        <f>(C1200*1.24778761061)+(0.4)</f>
        <v>25.480530973261001</v>
      </c>
      <c r="E1200" s="33">
        <f>(C1200*1.16814159292)+(-1)</f>
        <v>22.479646017692005</v>
      </c>
      <c r="F1200" s="33">
        <f>(C1200*1.1238938053)+(-4.4)</f>
        <v>18.190265486530002</v>
      </c>
      <c r="G1200" s="33">
        <f>(C1200*1.06194690265)+(-5.9)</f>
        <v>15.445132743265001</v>
      </c>
      <c r="H1200" s="34">
        <f>(C1200*1.19469026548)+(0)</f>
        <v>24.013274336148001</v>
      </c>
      <c r="I1200" s="34">
        <f>(C1200*1.16814159292)+(-2)</f>
        <v>21.479646017692005</v>
      </c>
      <c r="J1200" s="34">
        <f>(C1200*1.1238938053)+(-3.9)</f>
        <v>18.690265486530006</v>
      </c>
      <c r="K1200" s="34">
        <f>(C1200*1.07964601769)+(-5.6)</f>
        <v>16.100884955569001</v>
      </c>
    </row>
    <row r="1201" spans="1:11" s="21" customFormat="1" ht="19.95" customHeight="1" x14ac:dyDescent="0.25">
      <c r="A1201" s="13" t="str">
        <f>"64431"</f>
        <v>64431</v>
      </c>
      <c r="B1201" s="14" t="s">
        <v>1545</v>
      </c>
      <c r="C1201" s="13" t="str">
        <f>"15.4"</f>
        <v>15.4</v>
      </c>
      <c r="D1201" s="32">
        <f>(C1201*1.24778761061)+(0.4)</f>
        <v>19.615929203394</v>
      </c>
      <c r="E1201" s="33">
        <f>(C1201*1.16814159292)+(-1)</f>
        <v>16.989380530968003</v>
      </c>
      <c r="F1201" s="33">
        <f>(C1201*1.1238938053)+(-4.4)</f>
        <v>12.90796460162</v>
      </c>
      <c r="G1201" s="33">
        <f>(C1201*1.06194690265)+(-5.9)</f>
        <v>10.453982300809999</v>
      </c>
      <c r="H1201" s="34">
        <f>(C1201*1.19469026548)+(0)</f>
        <v>18.398230088392001</v>
      </c>
      <c r="I1201" s="34">
        <f>(C1201*1.16814159292)+(-2)</f>
        <v>15.989380530968003</v>
      </c>
      <c r="J1201" s="34">
        <f>(C1201*1.1238938053)+(-3.9)</f>
        <v>13.40796460162</v>
      </c>
      <c r="K1201" s="34">
        <f>(C1201*1.07964601769)+(-5.6)</f>
        <v>11.026548672426001</v>
      </c>
    </row>
    <row r="1202" spans="1:11" s="21" customFormat="1" ht="19.95" customHeight="1" x14ac:dyDescent="0.25">
      <c r="A1202" s="13" t="str">
        <f>"67232"</f>
        <v>67232</v>
      </c>
      <c r="B1202" s="14" t="s">
        <v>1546</v>
      </c>
      <c r="C1202" s="13" t="str">
        <f>"19.4"</f>
        <v>19.4</v>
      </c>
      <c r="D1202" s="32">
        <f>(C1202*1.24778761061)+(0.4)</f>
        <v>24.607079645833998</v>
      </c>
      <c r="E1202" s="33">
        <f>(C1202*1.16814159292)+(-1)</f>
        <v>21.661946902648001</v>
      </c>
      <c r="F1202" s="33">
        <f>(C1202*1.1238938053)+(-4.4)</f>
        <v>17.403539822820001</v>
      </c>
      <c r="G1202" s="33">
        <f>(C1202*1.06194690265)+(-5.9)</f>
        <v>14.701769911409995</v>
      </c>
      <c r="H1202" s="34">
        <f>(C1202*1.19469026548)+(0)</f>
        <v>23.176991150311999</v>
      </c>
      <c r="I1202" s="34">
        <f>(C1202*1.16814159292)+(-2)</f>
        <v>20.661946902648001</v>
      </c>
      <c r="J1202" s="34">
        <f>(C1202*1.1238938053)+(-3.9)</f>
        <v>17.903539822820001</v>
      </c>
      <c r="K1202" s="34">
        <f>(C1202*1.07964601769)+(-5.6)</f>
        <v>15.345132743185998</v>
      </c>
    </row>
    <row r="1203" spans="1:11" s="21" customFormat="1" ht="19.95" customHeight="1" x14ac:dyDescent="0.25">
      <c r="A1203" s="13" t="str">
        <f>"10810"</f>
        <v>10810</v>
      </c>
      <c r="B1203" s="14" t="s">
        <v>1547</v>
      </c>
      <c r="C1203" s="13" t="str">
        <f>"23.4"</f>
        <v>23.4</v>
      </c>
      <c r="D1203" s="32">
        <f>(C1203*1.24778761061)+(0.4)</f>
        <v>29.598230088274001</v>
      </c>
      <c r="E1203" s="33">
        <f>(C1203*1.16814159292)+(-1)</f>
        <v>26.334513274328</v>
      </c>
      <c r="F1203" s="33">
        <f>(C1203*1.1238938053)+(-4.4)</f>
        <v>21.89911504402</v>
      </c>
      <c r="G1203" s="33">
        <f>(C1203*1.06194690265)+(-5.9)</f>
        <v>18.949557522009997</v>
      </c>
      <c r="H1203" s="34">
        <f>(C1203*1.19469026548)+(0)</f>
        <v>27.955752212231999</v>
      </c>
      <c r="I1203" s="34">
        <f>(C1203*1.16814159292)+(-2)</f>
        <v>25.334513274328</v>
      </c>
      <c r="J1203" s="34">
        <f>(C1203*1.1238938053)+(-3.9)</f>
        <v>22.39911504402</v>
      </c>
      <c r="K1203" s="34">
        <f>(C1203*1.07964601769)+(-5.6)</f>
        <v>19.663716813945996</v>
      </c>
    </row>
    <row r="1204" spans="1:11" s="21" customFormat="1" ht="19.95" customHeight="1" x14ac:dyDescent="0.25">
      <c r="A1204" s="13" t="str">
        <f>"16827"</f>
        <v>16827</v>
      </c>
      <c r="B1204" s="14" t="s">
        <v>1548</v>
      </c>
      <c r="C1204" s="13" t="str">
        <f>"17.9"</f>
        <v>17.9</v>
      </c>
      <c r="D1204" s="32">
        <f>(C1204*1.24778761061)+(0.4)</f>
        <v>22.735398229918999</v>
      </c>
      <c r="E1204" s="33">
        <f>(C1204*1.16814159292)+(-1)</f>
        <v>19.909734513267999</v>
      </c>
      <c r="F1204" s="33">
        <f>(C1204*1.1238938053)+(-4.4)</f>
        <v>15.717699114869999</v>
      </c>
      <c r="G1204" s="33">
        <f>(C1204*1.06194690265)+(-5.9)</f>
        <v>13.108849557434995</v>
      </c>
      <c r="H1204" s="34">
        <f>(C1204*1.19469026548)+(0)</f>
        <v>21.384955752091997</v>
      </c>
      <c r="I1204" s="34">
        <f>(C1204*1.16814159292)+(-2)</f>
        <v>18.909734513267999</v>
      </c>
      <c r="J1204" s="34">
        <f>(C1204*1.1238938053)+(-3.9)</f>
        <v>16.217699114870001</v>
      </c>
      <c r="K1204" s="34">
        <f>(C1204*1.07964601769)+(-5.6)</f>
        <v>13.725663716651001</v>
      </c>
    </row>
    <row r="1205" spans="1:11" s="21" customFormat="1" ht="19.95" customHeight="1" x14ac:dyDescent="0.25">
      <c r="A1205" s="13" t="str">
        <f>"1007553"</f>
        <v>1007553</v>
      </c>
      <c r="B1205" s="14" t="s">
        <v>1549</v>
      </c>
      <c r="C1205" s="13" t="str">
        <f>"24.8000"</f>
        <v>24.8000</v>
      </c>
      <c r="D1205" s="32">
        <f>(C1205*1.24778761061)+(0.4)</f>
        <v>31.345132743128001</v>
      </c>
      <c r="E1205" s="33">
        <f>(C1205*1.16814159292)+(-1)</f>
        <v>27.969911504416004</v>
      </c>
      <c r="F1205" s="33">
        <f>(C1205*1.1238938053)+(-4.4)</f>
        <v>23.472566371440003</v>
      </c>
      <c r="G1205" s="33">
        <f>(C1205*1.06194690265)+(-5.9)</f>
        <v>20.436283185720001</v>
      </c>
      <c r="H1205" s="34">
        <f>(C1205*1.19469026548)+(0)</f>
        <v>29.628318583904001</v>
      </c>
      <c r="I1205" s="34">
        <f>(C1205*1.16814159292)+(-2)</f>
        <v>26.969911504416004</v>
      </c>
      <c r="J1205" s="34">
        <f>(C1205*1.1238938053)+(-3.9)</f>
        <v>23.972566371440003</v>
      </c>
      <c r="K1205" s="34">
        <f>(C1205*1.07964601769)+(-5.6)</f>
        <v>21.175221238711998</v>
      </c>
    </row>
    <row r="1206" spans="1:11" s="21" customFormat="1" ht="19.95" customHeight="1" x14ac:dyDescent="0.25">
      <c r="A1206" s="13" t="str">
        <f>"68523"</f>
        <v>68523</v>
      </c>
      <c r="B1206" s="14" t="s">
        <v>1550</v>
      </c>
      <c r="C1206" s="13" t="str">
        <f>"10.4"</f>
        <v>10.4</v>
      </c>
      <c r="D1206" s="32">
        <f>(C1206*1.24778761061)+(0.4)</f>
        <v>13.376991150344002</v>
      </c>
      <c r="E1206" s="33">
        <f>(C1206*1.16814159292)+(-1)</f>
        <v>11.148672566368001</v>
      </c>
      <c r="F1206" s="33">
        <f>(C1206*1.1238938053)+(-4.4)</f>
        <v>7.2884955751200007</v>
      </c>
      <c r="G1206" s="33">
        <f>(C1206*1.06194690265)+(-5.9)</f>
        <v>5.1442477875599995</v>
      </c>
      <c r="H1206" s="34">
        <f>(C1206*1.19469026548)+(0)</f>
        <v>12.424778760992</v>
      </c>
      <c r="I1206" s="34">
        <f>(C1206*1.16814159292)+(-2)</f>
        <v>10.148672566368001</v>
      </c>
      <c r="J1206" s="34">
        <f>(C1206*1.1238938053)+(-3.9)</f>
        <v>7.7884955751200007</v>
      </c>
      <c r="K1206" s="34">
        <f>(C1206*1.07964601769)+(-5.6)</f>
        <v>5.6283185839760002</v>
      </c>
    </row>
    <row r="1207" spans="1:11" s="21" customFormat="1" ht="19.95" customHeight="1" x14ac:dyDescent="0.25">
      <c r="A1207" s="13" t="str">
        <f>"71232"</f>
        <v>71232</v>
      </c>
      <c r="B1207" s="14" t="s">
        <v>1551</v>
      </c>
      <c r="C1207" s="13" t="str">
        <f>"8.2"</f>
        <v>8.2</v>
      </c>
      <c r="D1207" s="32">
        <f>(C1207*1.24778761061)+(0.4)</f>
        <v>10.631858407001999</v>
      </c>
      <c r="E1207" s="33">
        <f>(C1207*1.16814159292)+(-1)</f>
        <v>8.5787610619440002</v>
      </c>
      <c r="F1207" s="33">
        <f>(C1207*1.1238938053)+(-4.4)</f>
        <v>4.8159292034599996</v>
      </c>
      <c r="G1207" s="33">
        <f>(C1207*1.06194690265)+(-5.9)</f>
        <v>2.8079646017299975</v>
      </c>
      <c r="H1207" s="34">
        <f>(C1207*1.19469026548)+(0)</f>
        <v>9.7964601769359998</v>
      </c>
      <c r="I1207" s="34">
        <f>(C1207*1.16814159292)+(-2)</f>
        <v>7.5787610619440002</v>
      </c>
      <c r="J1207" s="34">
        <f>(C1207*1.1238938053)+(-3.9)</f>
        <v>5.3159292034599996</v>
      </c>
      <c r="K1207" s="34">
        <f>(C1207*1.07964601769)+(-5.6)</f>
        <v>3.2530973450580003</v>
      </c>
    </row>
    <row r="1208" spans="1:11" s="21" customFormat="1" ht="19.95" customHeight="1" x14ac:dyDescent="0.25">
      <c r="A1208" s="13" t="str">
        <f>"36686"</f>
        <v>36686</v>
      </c>
      <c r="B1208" s="14" t="s">
        <v>1552</v>
      </c>
      <c r="C1208" s="13" t="str">
        <f>"7.9"</f>
        <v>7.9</v>
      </c>
      <c r="D1208" s="32">
        <f>(C1208*1.24778761061)+(0.4)</f>
        <v>10.257522123819001</v>
      </c>
      <c r="E1208" s="33">
        <f>(C1208*1.16814159292)+(-1)</f>
        <v>8.2283185840680009</v>
      </c>
      <c r="F1208" s="33">
        <f>(C1208*1.1238938053)+(-4.4)</f>
        <v>4.4787610618700011</v>
      </c>
      <c r="G1208" s="33">
        <f>(C1208*1.06194690265)+(-5.9)</f>
        <v>2.4893805309349997</v>
      </c>
      <c r="H1208" s="34">
        <f>(C1208*1.19469026548)+(0)</f>
        <v>9.4380530972920003</v>
      </c>
      <c r="I1208" s="34">
        <f>(C1208*1.16814159292)+(-2)</f>
        <v>7.2283185840680009</v>
      </c>
      <c r="J1208" s="34">
        <f>(C1208*1.1238938053)+(-3.9)</f>
        <v>4.9787610618700011</v>
      </c>
      <c r="K1208" s="34">
        <f>(C1208*1.07964601769)+(-5.6)</f>
        <v>2.9292035397510006</v>
      </c>
    </row>
    <row r="1209" spans="1:11" s="21" customFormat="1" ht="19.95" customHeight="1" x14ac:dyDescent="0.25">
      <c r="A1209" s="13" t="str">
        <f>"23605"</f>
        <v>23605</v>
      </c>
      <c r="B1209" s="14" t="s">
        <v>1553</v>
      </c>
      <c r="C1209" s="13" t="str">
        <f>"19.4"</f>
        <v>19.4</v>
      </c>
      <c r="D1209" s="32">
        <f>(C1209*1.24778761061)+(0.4)</f>
        <v>24.607079645833998</v>
      </c>
      <c r="E1209" s="33">
        <f>(C1209*1.16814159292)+(-1)</f>
        <v>21.661946902648001</v>
      </c>
      <c r="F1209" s="33">
        <f>(C1209*1.1238938053)+(-4.4)</f>
        <v>17.403539822820001</v>
      </c>
      <c r="G1209" s="33">
        <f>(C1209*1.06194690265)+(-5.9)</f>
        <v>14.701769911409995</v>
      </c>
      <c r="H1209" s="34">
        <f>(C1209*1.19469026548)+(0)</f>
        <v>23.176991150311999</v>
      </c>
      <c r="I1209" s="34">
        <f>(C1209*1.16814159292)+(-2)</f>
        <v>20.661946902648001</v>
      </c>
      <c r="J1209" s="34">
        <f>(C1209*1.1238938053)+(-3.9)</f>
        <v>17.903539822820001</v>
      </c>
      <c r="K1209" s="34">
        <f>(C1209*1.07964601769)+(-5.6)</f>
        <v>15.345132743185998</v>
      </c>
    </row>
    <row r="1210" spans="1:11" s="21" customFormat="1" ht="19.95" customHeight="1" x14ac:dyDescent="0.25">
      <c r="A1210" s="13" t="str">
        <f>"49385"</f>
        <v>49385</v>
      </c>
      <c r="B1210" s="14" t="s">
        <v>1554</v>
      </c>
      <c r="C1210" s="13" t="str">
        <f>"16.7"</f>
        <v>16.7</v>
      </c>
      <c r="D1210" s="32">
        <f>(C1210*1.24778761061)+(0.4)</f>
        <v>21.238053097186999</v>
      </c>
      <c r="E1210" s="33">
        <f>(C1210*1.16814159292)+(-1)</f>
        <v>18.507964601764002</v>
      </c>
      <c r="F1210" s="33">
        <f>(C1210*1.1238938053)+(-4.4)</f>
        <v>14.369026548509998</v>
      </c>
      <c r="G1210" s="33">
        <f>(C1210*1.06194690265)+(-5.9)</f>
        <v>11.834513274254997</v>
      </c>
      <c r="H1210" s="34">
        <f>(C1210*1.19469026548)+(0)</f>
        <v>19.951327433515999</v>
      </c>
      <c r="I1210" s="34">
        <f>(C1210*1.16814159292)+(-2)</f>
        <v>17.507964601764002</v>
      </c>
      <c r="J1210" s="34">
        <f>(C1210*1.1238938053)+(-3.9)</f>
        <v>14.869026548509998</v>
      </c>
      <c r="K1210" s="34">
        <f>(C1210*1.07964601769)+(-5.6)</f>
        <v>12.430088495422998</v>
      </c>
    </row>
    <row r="1211" spans="1:11" s="21" customFormat="1" ht="19.95" customHeight="1" x14ac:dyDescent="0.25">
      <c r="A1211" s="13" t="str">
        <f>"50014"</f>
        <v>50014</v>
      </c>
      <c r="B1211" s="14" t="s">
        <v>1555</v>
      </c>
      <c r="C1211" s="13" t="str">
        <f>"22.0"</f>
        <v>22.0</v>
      </c>
      <c r="D1211" s="32">
        <f>(C1211*1.24778761061)+(0.4)</f>
        <v>27.85132743342</v>
      </c>
      <c r="E1211" s="33">
        <f>(C1211*1.16814159292)+(-1)</f>
        <v>24.699115044240003</v>
      </c>
      <c r="F1211" s="33">
        <f>(C1211*1.1238938053)+(-4.4)</f>
        <v>20.325663716599998</v>
      </c>
      <c r="G1211" s="33">
        <f>(C1211*1.06194690265)+(-5.9)</f>
        <v>17.4628318583</v>
      </c>
      <c r="H1211" s="34">
        <f>(C1211*1.19469026548)+(0)</f>
        <v>26.283185840560002</v>
      </c>
      <c r="I1211" s="34">
        <f>(C1211*1.16814159292)+(-2)</f>
        <v>23.699115044240003</v>
      </c>
      <c r="J1211" s="34">
        <f>(C1211*1.1238938053)+(-3.9)</f>
        <v>20.825663716600001</v>
      </c>
      <c r="K1211" s="34">
        <f>(C1211*1.07964601769)+(-5.6)</f>
        <v>18.152212389180001</v>
      </c>
    </row>
    <row r="1212" spans="1:11" s="21" customFormat="1" ht="19.95" customHeight="1" x14ac:dyDescent="0.25">
      <c r="A1212" s="13" t="str">
        <f>"68797"</f>
        <v>68797</v>
      </c>
      <c r="B1212" s="14" t="s">
        <v>1556</v>
      </c>
      <c r="C1212" s="13" t="str">
        <f>"21.1"</f>
        <v>21.1</v>
      </c>
      <c r="D1212" s="32">
        <f>(C1212*1.24778761061)+(0.4)</f>
        <v>26.728318583871001</v>
      </c>
      <c r="E1212" s="33">
        <f>(C1212*1.16814159292)+(-1)</f>
        <v>23.647787610612003</v>
      </c>
      <c r="F1212" s="33">
        <f>(C1212*1.1238938053)+(-4.4)</f>
        <v>19.314159291830002</v>
      </c>
      <c r="G1212" s="33">
        <f>(C1212*1.06194690265)+(-5.9)</f>
        <v>16.507079645914999</v>
      </c>
      <c r="H1212" s="34">
        <f>(C1212*1.19469026548)+(0)</f>
        <v>25.207964601628003</v>
      </c>
      <c r="I1212" s="34">
        <f>(C1212*1.16814159292)+(-2)</f>
        <v>22.647787610612003</v>
      </c>
      <c r="J1212" s="34">
        <f>(C1212*1.1238938053)+(-3.9)</f>
        <v>19.814159291830006</v>
      </c>
      <c r="K1212" s="34">
        <f>(C1212*1.07964601769)+(-5.6)</f>
        <v>17.180530973259003</v>
      </c>
    </row>
    <row r="1213" spans="1:11" s="21" customFormat="1" ht="19.95" customHeight="1" x14ac:dyDescent="0.25">
      <c r="A1213" s="13" t="str">
        <f>"74734"</f>
        <v>74734</v>
      </c>
      <c r="B1213" s="14" t="s">
        <v>1557</v>
      </c>
      <c r="C1213" s="13" t="str">
        <f>"15.5"</f>
        <v>15.5</v>
      </c>
      <c r="D1213" s="32">
        <f>(C1213*1.24778761061)+(0.4)</f>
        <v>19.740707964455002</v>
      </c>
      <c r="E1213" s="33">
        <f>(C1213*1.16814159292)+(-1)</f>
        <v>17.106194690260001</v>
      </c>
      <c r="F1213" s="33">
        <f>(C1213*1.1238938053)+(-4.4)</f>
        <v>13.020353982150001</v>
      </c>
      <c r="G1213" s="33">
        <f>(C1213*1.06194690265)+(-5.9)</f>
        <v>10.560176991074998</v>
      </c>
      <c r="H1213" s="34">
        <f>(C1213*1.19469026548)+(0)</f>
        <v>18.517699114940001</v>
      </c>
      <c r="I1213" s="34">
        <f>(C1213*1.16814159292)+(-2)</f>
        <v>16.106194690260001</v>
      </c>
      <c r="J1213" s="34">
        <f>(C1213*1.1238938053)+(-3.9)</f>
        <v>13.520353982150001</v>
      </c>
      <c r="K1213" s="34">
        <f>(C1213*1.07964601769)+(-5.6)</f>
        <v>11.134513274194999</v>
      </c>
    </row>
    <row r="1214" spans="1:11" s="21" customFormat="1" ht="19.95" customHeight="1" x14ac:dyDescent="0.25">
      <c r="A1214" s="13" t="str">
        <f>"70308"</f>
        <v>70308</v>
      </c>
      <c r="B1214" s="14" t="s">
        <v>1558</v>
      </c>
      <c r="C1214" s="13" t="str">
        <f>"36.3"</f>
        <v>36.3</v>
      </c>
      <c r="D1214" s="32">
        <f>(C1214*1.24778761061)+(0.4)</f>
        <v>45.694690265142995</v>
      </c>
      <c r="E1214" s="33">
        <f>(C1214*1.16814159292)+(-1)</f>
        <v>41.403539822996002</v>
      </c>
      <c r="F1214" s="33">
        <f>(C1214*1.1238938053)+(-4.4)</f>
        <v>36.397345132390001</v>
      </c>
      <c r="G1214" s="33">
        <f>(C1214*1.06194690265)+(-5.9)</f>
        <v>32.648672566194996</v>
      </c>
      <c r="H1214" s="34">
        <f>(C1214*1.19469026548)+(0)</f>
        <v>43.367256636923997</v>
      </c>
      <c r="I1214" s="34">
        <f>(C1214*1.16814159292)+(-2)</f>
        <v>40.403539822996002</v>
      </c>
      <c r="J1214" s="34">
        <f>(C1214*1.1238938053)+(-3.9)</f>
        <v>36.897345132390001</v>
      </c>
      <c r="K1214" s="34">
        <f>(C1214*1.07964601769)+(-5.6)</f>
        <v>33.591150442146997</v>
      </c>
    </row>
    <row r="1215" spans="1:11" s="21" customFormat="1" ht="19.95" customHeight="1" x14ac:dyDescent="0.25">
      <c r="A1215" s="13" t="str">
        <f>"16833"</f>
        <v>16833</v>
      </c>
      <c r="B1215" s="14" t="s">
        <v>1559</v>
      </c>
      <c r="C1215" s="13" t="str">
        <f>"26.9"</f>
        <v>26.9</v>
      </c>
      <c r="D1215" s="32">
        <f>(C1215*1.24778761061)+(0.4)</f>
        <v>33.965486725409001</v>
      </c>
      <c r="E1215" s="33">
        <f>(C1215*1.16814159292)+(-1)</f>
        <v>30.423008849548001</v>
      </c>
      <c r="F1215" s="33">
        <f>(C1215*1.1238938053)+(-4.4)</f>
        <v>25.83274336257</v>
      </c>
      <c r="G1215" s="33">
        <f>(C1215*1.06194690265)+(-5.9)</f>
        <v>22.666371681284993</v>
      </c>
      <c r="H1215" s="34">
        <f>(C1215*1.19469026548)+(0)</f>
        <v>32.137168141411998</v>
      </c>
      <c r="I1215" s="34">
        <f>(C1215*1.16814159292)+(-2)</f>
        <v>29.423008849548001</v>
      </c>
      <c r="J1215" s="34">
        <f>(C1215*1.1238938053)+(-3.9)</f>
        <v>26.33274336257</v>
      </c>
      <c r="K1215" s="34">
        <f>(C1215*1.07964601769)+(-5.6)</f>
        <v>23.442477875861002</v>
      </c>
    </row>
    <row r="1216" spans="1:11" s="21" customFormat="1" ht="19.95" customHeight="1" x14ac:dyDescent="0.25">
      <c r="A1216" s="13" t="str">
        <f>"80559"</f>
        <v>80559</v>
      </c>
      <c r="B1216" s="14" t="s">
        <v>1560</v>
      </c>
      <c r="C1216" s="13" t="str">
        <f>"28.8"</f>
        <v>28.8</v>
      </c>
      <c r="D1216" s="32">
        <f>(C1216*1.24778761061)+(0.4)</f>
        <v>36.336283185568</v>
      </c>
      <c r="E1216" s="33">
        <f>(C1216*1.16814159292)+(-1)</f>
        <v>32.642477876096002</v>
      </c>
      <c r="F1216" s="33">
        <f>(C1216*1.1238938053)+(-4.4)</f>
        <v>27.968141592640002</v>
      </c>
      <c r="G1216" s="33">
        <f>(C1216*1.06194690265)+(-5.9)</f>
        <v>24.68407079632</v>
      </c>
      <c r="H1216" s="34">
        <f>(C1216*1.19469026548)+(0)</f>
        <v>34.407079645823998</v>
      </c>
      <c r="I1216" s="34">
        <f>(C1216*1.16814159292)+(-2)</f>
        <v>31.642477876096002</v>
      </c>
      <c r="J1216" s="34">
        <f>(C1216*1.1238938053)+(-3.9)</f>
        <v>28.468141592640002</v>
      </c>
      <c r="K1216" s="34">
        <f>(C1216*1.07964601769)+(-5.6)</f>
        <v>25.493805309472002</v>
      </c>
    </row>
    <row r="1217" spans="1:11" s="21" customFormat="1" ht="19.95" customHeight="1" x14ac:dyDescent="0.25">
      <c r="A1217" s="13" t="str">
        <f>"67682"</f>
        <v>67682</v>
      </c>
      <c r="B1217" s="14" t="s">
        <v>1561</v>
      </c>
      <c r="C1217" s="13" t="str">
        <f>"20.2"</f>
        <v>20.2</v>
      </c>
      <c r="D1217" s="32">
        <f>(C1217*1.24778761061)+(0.4)</f>
        <v>25.605309734321999</v>
      </c>
      <c r="E1217" s="33">
        <f>(C1217*1.16814159292)+(-1)</f>
        <v>22.596460176983999</v>
      </c>
      <c r="F1217" s="33">
        <f>(C1217*1.1238938053)+(-4.4)</f>
        <v>18.302654867059999</v>
      </c>
      <c r="G1217" s="33">
        <f>(C1217*1.06194690265)+(-5.9)</f>
        <v>15.551327433529996</v>
      </c>
      <c r="H1217" s="34">
        <f>(C1217*1.19469026548)+(0)</f>
        <v>24.132743362696001</v>
      </c>
      <c r="I1217" s="34">
        <f>(C1217*1.16814159292)+(-2)</f>
        <v>21.596460176983999</v>
      </c>
      <c r="J1217" s="34">
        <f>(C1217*1.1238938053)+(-3.9)</f>
        <v>18.802654867060003</v>
      </c>
      <c r="K1217" s="34">
        <f>(C1217*1.07964601769)+(-5.6)</f>
        <v>16.208849557337999</v>
      </c>
    </row>
    <row r="1218" spans="1:11" s="21" customFormat="1" ht="19.95" customHeight="1" x14ac:dyDescent="0.25">
      <c r="A1218" s="13" t="str">
        <f>"16835"</f>
        <v>16835</v>
      </c>
      <c r="B1218" s="14" t="s">
        <v>1562</v>
      </c>
      <c r="C1218" s="13" t="str">
        <f>"31.4"</f>
        <v>31.4</v>
      </c>
      <c r="D1218" s="32">
        <f>(C1218*1.24778761061)+(0.4)</f>
        <v>39.580530973153998</v>
      </c>
      <c r="E1218" s="33">
        <f>(C1218*1.16814159292)+(-1)</f>
        <v>35.679646017688</v>
      </c>
      <c r="F1218" s="33">
        <f>(C1218*1.1238938053)+(-4.4)</f>
        <v>30.890265486419999</v>
      </c>
      <c r="G1218" s="33">
        <f>(C1218*1.06194690265)+(-5.9)</f>
        <v>27.445132743209996</v>
      </c>
      <c r="H1218" s="34">
        <f>(C1218*1.19469026548)+(0)</f>
        <v>37.513274336072001</v>
      </c>
      <c r="I1218" s="34">
        <f>(C1218*1.16814159292)+(-2)</f>
        <v>34.679646017688</v>
      </c>
      <c r="J1218" s="34">
        <f>(C1218*1.1238938053)+(-3.9)</f>
        <v>31.390265486419999</v>
      </c>
      <c r="K1218" s="34">
        <f>(C1218*1.07964601769)+(-5.6)</f>
        <v>28.300884955465996</v>
      </c>
    </row>
    <row r="1219" spans="1:11" s="21" customFormat="1" ht="19.95" customHeight="1" x14ac:dyDescent="0.25">
      <c r="A1219" s="13" t="str">
        <f>"1011744"</f>
        <v>1011744</v>
      </c>
      <c r="B1219" s="14" t="s">
        <v>1563</v>
      </c>
      <c r="C1219" s="13" t="str">
        <f>"39.4"</f>
        <v>39.4</v>
      </c>
      <c r="D1219" s="32">
        <f>(C1219*1.24778761061)+(0.4)</f>
        <v>49.562831858034002</v>
      </c>
      <c r="E1219" s="33">
        <f>(C1219*1.16814159292)+(-1)</f>
        <v>45.024778761048005</v>
      </c>
      <c r="F1219" s="33">
        <f>(C1219*1.1238938053)+(-4.4)</f>
        <v>39.881415928820005</v>
      </c>
      <c r="G1219" s="33">
        <f>(C1219*1.06194690265)+(-5.9)</f>
        <v>35.940707964409995</v>
      </c>
      <c r="H1219" s="34">
        <f>(C1219*1.19469026548)+(0)</f>
        <v>47.070796459911996</v>
      </c>
      <c r="I1219" s="34">
        <f>(C1219*1.16814159292)+(-2)</f>
        <v>44.024778761048005</v>
      </c>
      <c r="J1219" s="34">
        <f>(C1219*1.1238938053)+(-3.9)</f>
        <v>40.381415928820005</v>
      </c>
      <c r="K1219" s="34">
        <f>(C1219*1.07964601769)+(-5.6)</f>
        <v>36.938053096985996</v>
      </c>
    </row>
    <row r="1220" spans="1:11" s="21" customFormat="1" ht="19.95" customHeight="1" x14ac:dyDescent="0.25">
      <c r="A1220" s="13" t="str">
        <f>"16836"</f>
        <v>16836</v>
      </c>
      <c r="B1220" s="14" t="s">
        <v>1564</v>
      </c>
      <c r="C1220" s="13" t="str">
        <f>"17.3"</f>
        <v>17.3</v>
      </c>
      <c r="D1220" s="32">
        <f>(C1220*1.24778761061)+(0.4)</f>
        <v>21.986725663553003</v>
      </c>
      <c r="E1220" s="33">
        <f>(C1220*1.16814159292)+(-1)</f>
        <v>19.208849557516004</v>
      </c>
      <c r="F1220" s="33">
        <f>(C1220*1.1238938053)+(-4.4)</f>
        <v>15.043362831690002</v>
      </c>
      <c r="G1220" s="33">
        <f>(C1220*1.06194690265)+(-5.9)</f>
        <v>12.471681415845</v>
      </c>
      <c r="H1220" s="34">
        <f>(C1220*1.19469026548)+(0)</f>
        <v>20.668141592804002</v>
      </c>
      <c r="I1220" s="34">
        <f>(C1220*1.16814159292)+(-2)</f>
        <v>18.208849557516004</v>
      </c>
      <c r="J1220" s="34">
        <f>(C1220*1.1238938053)+(-3.9)</f>
        <v>15.543362831690002</v>
      </c>
      <c r="K1220" s="34">
        <f>(C1220*1.07964601769)+(-5.6)</f>
        <v>13.077876106037001</v>
      </c>
    </row>
    <row r="1221" spans="1:11" s="21" customFormat="1" ht="19.95" customHeight="1" x14ac:dyDescent="0.25">
      <c r="A1221" s="13" t="str">
        <f>"3683"</f>
        <v>3683</v>
      </c>
      <c r="B1221" s="14" t="s">
        <v>1565</v>
      </c>
      <c r="C1221" s="13" t="str">
        <f>"7.1"</f>
        <v>7.1</v>
      </c>
      <c r="D1221" s="32">
        <f>(C1221*1.24778761061)+(0.4)</f>
        <v>9.2592920353310006</v>
      </c>
      <c r="E1221" s="33">
        <f>(C1221*1.16814159292)+(-1)</f>
        <v>7.2938053097320008</v>
      </c>
      <c r="F1221" s="33">
        <f>(C1221*1.1238938053)+(-4.4)</f>
        <v>3.57964601763</v>
      </c>
      <c r="G1221" s="33">
        <f>(C1221*1.06194690265)+(-5.9)</f>
        <v>1.6398230088149983</v>
      </c>
      <c r="H1221" s="34">
        <f>(C1221*1.19469026548)+(0)</f>
        <v>8.4823008849079997</v>
      </c>
      <c r="I1221" s="34">
        <f>(C1221*1.16814159292)+(-2)</f>
        <v>6.2938053097320008</v>
      </c>
      <c r="J1221" s="34">
        <f>(C1221*1.1238938053)+(-3.9)</f>
        <v>4.0796460176300009</v>
      </c>
      <c r="K1221" s="34">
        <f>(C1221*1.07964601769)+(-5.6)</f>
        <v>2.0654867255990004</v>
      </c>
    </row>
    <row r="1222" spans="1:11" s="21" customFormat="1" ht="19.95" customHeight="1" x14ac:dyDescent="0.25">
      <c r="A1222" s="13" t="str">
        <f>"47170"</f>
        <v>47170</v>
      </c>
      <c r="B1222" s="14" t="s">
        <v>1566</v>
      </c>
      <c r="C1222" s="13" t="str">
        <f>"7.5"</f>
        <v>7.5</v>
      </c>
      <c r="D1222" s="32">
        <f>(C1222*1.24778761061)+(0.4)</f>
        <v>9.7584070795750009</v>
      </c>
      <c r="E1222" s="33">
        <f>(C1222*1.16814159292)+(-1)</f>
        <v>7.7610619469</v>
      </c>
      <c r="F1222" s="33">
        <f>(C1222*1.1238938053)+(-4.4)</f>
        <v>4.0292035397500001</v>
      </c>
      <c r="G1222" s="33">
        <f>(C1222*1.06194690265)+(-5.9)</f>
        <v>2.064601769874999</v>
      </c>
      <c r="H1222" s="34">
        <f>(C1222*1.19469026548)+(0)</f>
        <v>8.9601769911000009</v>
      </c>
      <c r="I1222" s="34">
        <f>(C1222*1.16814159292)+(-2)</f>
        <v>6.7610619469</v>
      </c>
      <c r="J1222" s="34">
        <f>(C1222*1.1238938053)+(-3.9)</f>
        <v>4.5292035397500001</v>
      </c>
      <c r="K1222" s="34">
        <f>(C1222*1.07964601769)+(-5.6)</f>
        <v>2.4973451326750009</v>
      </c>
    </row>
    <row r="1223" spans="1:11" s="21" customFormat="1" ht="19.95" customHeight="1" x14ac:dyDescent="0.25">
      <c r="A1223" s="13" t="str">
        <f>"1011743"</f>
        <v>1011743</v>
      </c>
      <c r="B1223" s="14" t="s">
        <v>1567</v>
      </c>
      <c r="C1223" s="13" t="str">
        <f>"32.8"</f>
        <v>32.8</v>
      </c>
      <c r="D1223" s="32">
        <f>(C1223*1.24778761061)+(0.4)</f>
        <v>41.327433628007995</v>
      </c>
      <c r="E1223" s="33">
        <f>(C1223*1.16814159292)+(-1)</f>
        <v>37.315044247776001</v>
      </c>
      <c r="F1223" s="33">
        <f>(C1223*1.1238938053)+(-4.4)</f>
        <v>32.463716813840001</v>
      </c>
      <c r="G1223" s="33">
        <f>(C1223*1.06194690265)+(-5.9)</f>
        <v>28.931858406919993</v>
      </c>
      <c r="H1223" s="34">
        <f>(C1223*1.19469026548)+(0)</f>
        <v>39.185840707743999</v>
      </c>
      <c r="I1223" s="34">
        <f>(C1223*1.16814159292)+(-2)</f>
        <v>36.315044247776001</v>
      </c>
      <c r="J1223" s="34">
        <f>(C1223*1.1238938053)+(-3.9)</f>
        <v>32.963716813840001</v>
      </c>
      <c r="K1223" s="34">
        <f>(C1223*1.07964601769)+(-5.6)</f>
        <v>29.812389380231998</v>
      </c>
    </row>
    <row r="1224" spans="1:11" s="21" customFormat="1" ht="19.95" customHeight="1" x14ac:dyDescent="0.25">
      <c r="A1224" s="13" t="str">
        <f>"3689"</f>
        <v>3689</v>
      </c>
      <c r="B1224" s="14" t="s">
        <v>1568</v>
      </c>
      <c r="C1224" s="13" t="str">
        <f>"22.4"</f>
        <v>22.4</v>
      </c>
      <c r="D1224" s="32">
        <f>(C1224*1.24778761061)+(0.4)</f>
        <v>28.350442477664</v>
      </c>
      <c r="E1224" s="33">
        <f>(C1224*1.16814159292)+(-1)</f>
        <v>25.166371681408002</v>
      </c>
      <c r="F1224" s="33">
        <f>(C1224*1.1238938053)+(-4.4)</f>
        <v>20.77522123872</v>
      </c>
      <c r="G1224" s="33">
        <f>(C1224*1.06194690265)+(-5.9)</f>
        <v>17.887610619359997</v>
      </c>
      <c r="H1224" s="34">
        <f>(C1224*1.19469026548)+(0)</f>
        <v>26.761061946751997</v>
      </c>
      <c r="I1224" s="34">
        <f>(C1224*1.16814159292)+(-2)</f>
        <v>24.166371681408002</v>
      </c>
      <c r="J1224" s="34">
        <f>(C1224*1.1238938053)+(-3.9)</f>
        <v>21.27522123872</v>
      </c>
      <c r="K1224" s="34">
        <f>(C1224*1.07964601769)+(-5.6)</f>
        <v>18.584070796256</v>
      </c>
    </row>
    <row r="1225" spans="1:11" s="21" customFormat="1" ht="19.95" customHeight="1" x14ac:dyDescent="0.25">
      <c r="A1225" s="13" t="str">
        <f>"16839"</f>
        <v>16839</v>
      </c>
      <c r="B1225" s="14" t="s">
        <v>1569</v>
      </c>
      <c r="C1225" s="13" t="str">
        <f>"20.0"</f>
        <v>20.0</v>
      </c>
      <c r="D1225" s="32">
        <f>(C1225*1.24778761061)+(0.4)</f>
        <v>25.355752212200002</v>
      </c>
      <c r="E1225" s="33">
        <f>(C1225*1.16814159292)+(-1)</f>
        <v>22.3628318584</v>
      </c>
      <c r="F1225" s="33">
        <f>(C1225*1.1238938053)+(-4.4)</f>
        <v>18.077876105999998</v>
      </c>
      <c r="G1225" s="33">
        <f>(C1225*1.06194690265)+(-5.9)</f>
        <v>15.338938052999998</v>
      </c>
      <c r="H1225" s="34">
        <f>(C1225*1.19469026548)+(0)</f>
        <v>23.893805309600001</v>
      </c>
      <c r="I1225" s="34">
        <f>(C1225*1.16814159292)+(-2)</f>
        <v>21.3628318584</v>
      </c>
      <c r="J1225" s="34">
        <f>(C1225*1.1238938053)+(-3.9)</f>
        <v>18.577876106000001</v>
      </c>
      <c r="K1225" s="34">
        <f>(C1225*1.07964601769)+(-5.6)</f>
        <v>15.992920353800001</v>
      </c>
    </row>
    <row r="1226" spans="1:11" s="21" customFormat="1" ht="19.95" customHeight="1" x14ac:dyDescent="0.25">
      <c r="A1226" s="13" t="str">
        <f>"75521"</f>
        <v>75521</v>
      </c>
      <c r="B1226" s="14" t="s">
        <v>1570</v>
      </c>
      <c r="C1226" s="13" t="str">
        <f>"14.6"</f>
        <v>14.6</v>
      </c>
      <c r="D1226" s="32">
        <f>(C1226*1.24778761061)+(0.4)</f>
        <v>18.617699114905999</v>
      </c>
      <c r="E1226" s="33">
        <f>(C1226*1.16814159292)+(-1)</f>
        <v>16.054867256632001</v>
      </c>
      <c r="F1226" s="33">
        <f>(C1226*1.1238938053)+(-4.4)</f>
        <v>12.008849557380001</v>
      </c>
      <c r="G1226" s="33">
        <f>(C1226*1.06194690265)+(-5.9)</f>
        <v>9.6044247786899977</v>
      </c>
      <c r="H1226" s="34">
        <f>(C1226*1.19469026548)+(0)</f>
        <v>17.442477876007999</v>
      </c>
      <c r="I1226" s="34">
        <f>(C1226*1.16814159292)+(-2)</f>
        <v>15.054867256632001</v>
      </c>
      <c r="J1226" s="34">
        <f>(C1226*1.1238938053)+(-3.9)</f>
        <v>12.508849557380001</v>
      </c>
      <c r="K1226" s="34">
        <f>(C1226*1.07964601769)+(-5.6)</f>
        <v>10.162831858274</v>
      </c>
    </row>
    <row r="1227" spans="1:11" s="21" customFormat="1" ht="19.95" customHeight="1" x14ac:dyDescent="0.25">
      <c r="A1227" s="13" t="str">
        <f>"17537"</f>
        <v>17537</v>
      </c>
      <c r="B1227" s="14" t="s">
        <v>1571</v>
      </c>
      <c r="C1227" s="13" t="str">
        <f>"22.3"</f>
        <v>22.3</v>
      </c>
      <c r="D1227" s="32">
        <f>(C1227*1.24778761061)+(0.4)</f>
        <v>28.225663716603002</v>
      </c>
      <c r="E1227" s="33">
        <f>(C1227*1.16814159292)+(-1)</f>
        <v>25.049557522116004</v>
      </c>
      <c r="F1227" s="33">
        <f>(C1227*1.1238938053)+(-4.4)</f>
        <v>20.662831858190003</v>
      </c>
      <c r="G1227" s="33">
        <f>(C1227*1.06194690265)+(-5.9)</f>
        <v>17.781415929094997</v>
      </c>
      <c r="H1227" s="34">
        <f>(C1227*1.19469026548)+(0)</f>
        <v>26.641592920204001</v>
      </c>
      <c r="I1227" s="34">
        <f>(C1227*1.16814159292)+(-2)</f>
        <v>24.049557522116004</v>
      </c>
      <c r="J1227" s="34">
        <f>(C1227*1.1238938053)+(-3.9)</f>
        <v>21.162831858190003</v>
      </c>
      <c r="K1227" s="34">
        <f>(C1227*1.07964601769)+(-5.6)</f>
        <v>18.476106194487002</v>
      </c>
    </row>
    <row r="1228" spans="1:11" s="21" customFormat="1" ht="19.95" customHeight="1" x14ac:dyDescent="0.25">
      <c r="A1228" s="13" t="str">
        <f>"75519"</f>
        <v>75519</v>
      </c>
      <c r="B1228" s="14" t="s">
        <v>1572</v>
      </c>
      <c r="C1228" s="13" t="str">
        <f>"26.3"</f>
        <v>26.3</v>
      </c>
      <c r="D1228" s="32">
        <f>(C1228*1.24778761061)+(0.4)</f>
        <v>33.216814159043004</v>
      </c>
      <c r="E1228" s="33">
        <f>(C1228*1.16814159292)+(-1)</f>
        <v>29.722123893796002</v>
      </c>
      <c r="F1228" s="33">
        <f>(C1228*1.1238938053)+(-4.4)</f>
        <v>25.158407079390003</v>
      </c>
      <c r="G1228" s="33">
        <f>(C1228*1.06194690265)+(-5.9)</f>
        <v>22.029203539694997</v>
      </c>
      <c r="H1228" s="34">
        <f>(C1228*1.19469026548)+(0)</f>
        <v>31.420353982124002</v>
      </c>
      <c r="I1228" s="34">
        <f>(C1228*1.16814159292)+(-2)</f>
        <v>28.722123893796002</v>
      </c>
      <c r="J1228" s="34">
        <f>(C1228*1.1238938053)+(-3.9)</f>
        <v>25.658407079390003</v>
      </c>
      <c r="K1228" s="34">
        <f>(C1228*1.07964601769)+(-5.6)</f>
        <v>22.794690265246999</v>
      </c>
    </row>
    <row r="1229" spans="1:11" s="21" customFormat="1" ht="19.95" customHeight="1" x14ac:dyDescent="0.25">
      <c r="A1229" s="13" t="str">
        <f>"18358"</f>
        <v>18358</v>
      </c>
      <c r="B1229" s="14" t="s">
        <v>1573</v>
      </c>
      <c r="C1229" s="13" t="str">
        <f>"34.6"</f>
        <v>34.6</v>
      </c>
      <c r="D1229" s="32">
        <f>(C1229*1.24778761061)+(0.4)</f>
        <v>43.573451327106007</v>
      </c>
      <c r="E1229" s="33">
        <f>(C1229*1.16814159292)+(-1)</f>
        <v>39.417699115032008</v>
      </c>
      <c r="F1229" s="33">
        <f>(C1229*1.1238938053)+(-4.4)</f>
        <v>34.486725663380007</v>
      </c>
      <c r="G1229" s="33">
        <f>(C1229*1.06194690265)+(-5.9)</f>
        <v>30.843362831690001</v>
      </c>
      <c r="H1229" s="34">
        <f>(C1229*1.19469026548)+(0)</f>
        <v>41.336283185608004</v>
      </c>
      <c r="I1229" s="34">
        <f>(C1229*1.16814159292)+(-2)</f>
        <v>38.417699115032008</v>
      </c>
      <c r="J1229" s="34">
        <f>(C1229*1.1238938053)+(-3.9)</f>
        <v>34.986725663380007</v>
      </c>
      <c r="K1229" s="34">
        <f>(C1229*1.07964601769)+(-5.6)</f>
        <v>31.755752212074</v>
      </c>
    </row>
    <row r="1230" spans="1:11" s="21" customFormat="1" ht="19.95" customHeight="1" x14ac:dyDescent="0.25">
      <c r="A1230" s="13" t="str">
        <f>"17970"</f>
        <v>17970</v>
      </c>
      <c r="B1230" s="14" t="s">
        <v>1574</v>
      </c>
      <c r="C1230" s="13" t="str">
        <f>"12.0"</f>
        <v>12.0</v>
      </c>
      <c r="D1230" s="32">
        <f>(C1230*1.24778761061)+(0.4)</f>
        <v>15.373451327320002</v>
      </c>
      <c r="E1230" s="33">
        <f>(C1230*1.16814159292)+(-1)</f>
        <v>13.017699115040001</v>
      </c>
      <c r="F1230" s="33">
        <f>(C1230*1.1238938053)+(-4.4)</f>
        <v>9.0867256636000011</v>
      </c>
      <c r="G1230" s="33">
        <f>(C1230*1.06194690265)+(-5.9)</f>
        <v>6.8433628317999986</v>
      </c>
      <c r="H1230" s="34">
        <f>(C1230*1.19469026548)+(0)</f>
        <v>14.336283185759999</v>
      </c>
      <c r="I1230" s="34">
        <f>(C1230*1.16814159292)+(-2)</f>
        <v>12.017699115040001</v>
      </c>
      <c r="J1230" s="34">
        <f>(C1230*1.1238938053)+(-3.9)</f>
        <v>9.5867256636000011</v>
      </c>
      <c r="K1230" s="34">
        <f>(C1230*1.07964601769)+(-5.6)</f>
        <v>7.3557522122800005</v>
      </c>
    </row>
    <row r="1231" spans="1:11" s="21" customFormat="1" ht="19.95" customHeight="1" x14ac:dyDescent="0.25">
      <c r="A1231" s="13" t="str">
        <f>"16840"</f>
        <v>16840</v>
      </c>
      <c r="B1231" s="14" t="s">
        <v>1575</v>
      </c>
      <c r="C1231" s="13" t="str">
        <f>"26.4"</f>
        <v>26.4</v>
      </c>
      <c r="D1231" s="32">
        <f>(C1231*1.24778761061)+(0.4)</f>
        <v>33.341592920103999</v>
      </c>
      <c r="E1231" s="33">
        <f>(C1231*1.16814159292)+(-1)</f>
        <v>29.838938053088</v>
      </c>
      <c r="F1231" s="33">
        <f>(C1231*1.1238938053)+(-4.4)</f>
        <v>25.27079645992</v>
      </c>
      <c r="G1231" s="33">
        <f>(C1231*1.06194690265)+(-5.9)</f>
        <v>22.135398229959996</v>
      </c>
      <c r="H1231" s="34">
        <f>(C1231*1.19469026548)+(0)</f>
        <v>31.539823008671998</v>
      </c>
      <c r="I1231" s="34">
        <f>(C1231*1.16814159292)+(-2)</f>
        <v>28.838938053088</v>
      </c>
      <c r="J1231" s="34">
        <f>(C1231*1.1238938053)+(-3.9)</f>
        <v>25.77079645992</v>
      </c>
      <c r="K1231" s="34">
        <f>(C1231*1.07964601769)+(-5.6)</f>
        <v>22.902654867015997</v>
      </c>
    </row>
    <row r="1232" spans="1:11" s="21" customFormat="1" ht="19.95" customHeight="1" x14ac:dyDescent="0.25">
      <c r="A1232" s="13" t="str">
        <f>"16841"</f>
        <v>16841</v>
      </c>
      <c r="B1232" s="14" t="s">
        <v>1576</v>
      </c>
      <c r="C1232" s="13" t="str">
        <f>"29.6"</f>
        <v>29.6</v>
      </c>
      <c r="D1232" s="32">
        <f>(C1232*1.24778761061)+(0.4)</f>
        <v>37.334513274056</v>
      </c>
      <c r="E1232" s="33">
        <f>(C1232*1.16814159292)+(-1)</f>
        <v>33.576991150432001</v>
      </c>
      <c r="F1232" s="33">
        <f>(C1232*1.1238938053)+(-4.4)</f>
        <v>28.867256636880008</v>
      </c>
      <c r="G1232" s="33">
        <f>(C1232*1.06194690265)+(-5.9)</f>
        <v>25.533628318440002</v>
      </c>
      <c r="H1232" s="34">
        <f>(C1232*1.19469026548)+(0)</f>
        <v>35.362831858208004</v>
      </c>
      <c r="I1232" s="34">
        <f>(C1232*1.16814159292)+(-2)</f>
        <v>32.576991150432001</v>
      </c>
      <c r="J1232" s="34">
        <f>(C1232*1.1238938053)+(-3.9)</f>
        <v>29.367256636880008</v>
      </c>
      <c r="K1232" s="34">
        <f>(C1232*1.07964601769)+(-5.6)</f>
        <v>26.357522123624001</v>
      </c>
    </row>
    <row r="1233" spans="1:11" s="21" customFormat="1" ht="19.95" customHeight="1" x14ac:dyDescent="0.25">
      <c r="A1233" s="13" t="str">
        <f>"54377"</f>
        <v>54377</v>
      </c>
      <c r="B1233" s="14" t="s">
        <v>1577</v>
      </c>
      <c r="C1233" s="13" t="str">
        <f>"27.6"</f>
        <v>27.6</v>
      </c>
      <c r="D1233" s="32">
        <f>(C1233*1.24778761061)+(0.4)</f>
        <v>34.838938052836006</v>
      </c>
      <c r="E1233" s="33">
        <f>(C1233*1.16814159292)+(-1)</f>
        <v>31.240707964592005</v>
      </c>
      <c r="F1233" s="33">
        <f>(C1233*1.1238938053)+(-4.4)</f>
        <v>26.619469026280001</v>
      </c>
      <c r="G1233" s="33">
        <f>(C1233*1.06194690265)+(-5.9)</f>
        <v>23.409734513140002</v>
      </c>
      <c r="H1233" s="34">
        <f>(C1233*1.19469026548)+(0)</f>
        <v>32.973451327248</v>
      </c>
      <c r="I1233" s="34">
        <f>(C1233*1.16814159292)+(-2)</f>
        <v>30.240707964592005</v>
      </c>
      <c r="J1233" s="34">
        <f>(C1233*1.1238938053)+(-3.9)</f>
        <v>27.119469026280004</v>
      </c>
      <c r="K1233" s="34">
        <f>(C1233*1.07964601769)+(-5.6)</f>
        <v>24.198230088244003</v>
      </c>
    </row>
    <row r="1234" spans="1:11" s="21" customFormat="1" ht="19.95" customHeight="1" x14ac:dyDescent="0.25">
      <c r="A1234" s="13" t="str">
        <f>"16842"</f>
        <v>16842</v>
      </c>
      <c r="B1234" s="14" t="s">
        <v>1578</v>
      </c>
      <c r="C1234" s="13" t="str">
        <f>"17.7000"</f>
        <v>17.7000</v>
      </c>
      <c r="D1234" s="32">
        <f>(C1234*1.24778761061)+(0.4)</f>
        <v>22.485840707796999</v>
      </c>
      <c r="E1234" s="33">
        <f>(C1234*1.16814159292)+(-1)</f>
        <v>19.676106194683999</v>
      </c>
      <c r="F1234" s="33">
        <f>(C1234*1.1238938053)+(-4.4)</f>
        <v>15.492920353809998</v>
      </c>
      <c r="G1234" s="33">
        <f>(C1234*1.06194690265)+(-5.9)</f>
        <v>12.896460176904997</v>
      </c>
      <c r="H1234" s="34">
        <f>(C1234*1.19469026548)+(0)</f>
        <v>21.146017698996001</v>
      </c>
      <c r="I1234" s="34">
        <f>(C1234*1.16814159292)+(-2)</f>
        <v>18.676106194683999</v>
      </c>
      <c r="J1234" s="34">
        <f>(C1234*1.1238938053)+(-3.9)</f>
        <v>15.992920353809998</v>
      </c>
      <c r="K1234" s="34">
        <f>(C1234*1.07964601769)+(-5.6)</f>
        <v>13.509734513113001</v>
      </c>
    </row>
    <row r="1235" spans="1:11" s="21" customFormat="1" ht="19.95" customHeight="1" x14ac:dyDescent="0.25">
      <c r="A1235" s="13" t="str">
        <f>"40478"</f>
        <v>40478</v>
      </c>
      <c r="B1235" s="14" t="s">
        <v>1579</v>
      </c>
      <c r="C1235" s="13" t="str">
        <f>"22.8"</f>
        <v>22.8</v>
      </c>
      <c r="D1235" s="32">
        <f>(C1235*1.24778761061)+(0.4)</f>
        <v>28.849557521908</v>
      </c>
      <c r="E1235" s="33">
        <f>(C1235*1.16814159292)+(-1)</f>
        <v>25.633628318576001</v>
      </c>
      <c r="F1235" s="33">
        <f>(C1235*1.1238938053)+(-4.4)</f>
        <v>21.224778760840003</v>
      </c>
      <c r="G1235" s="33">
        <f>(C1235*1.06194690265)+(-5.9)</f>
        <v>18.312389380420001</v>
      </c>
      <c r="H1235" s="34">
        <f>(C1235*1.19469026548)+(0)</f>
        <v>27.238938052944</v>
      </c>
      <c r="I1235" s="34">
        <f>(C1235*1.16814159292)+(-2)</f>
        <v>24.633628318576001</v>
      </c>
      <c r="J1235" s="34">
        <f>(C1235*1.1238938053)+(-3.9)</f>
        <v>21.724778760840003</v>
      </c>
      <c r="K1235" s="34">
        <f>(C1235*1.07964601769)+(-5.6)</f>
        <v>19.015929203332</v>
      </c>
    </row>
    <row r="1236" spans="1:11" s="21" customFormat="1" ht="19.95" customHeight="1" x14ac:dyDescent="0.25">
      <c r="A1236" s="13" t="str">
        <f>"16844"</f>
        <v>16844</v>
      </c>
      <c r="B1236" s="14" t="s">
        <v>1580</v>
      </c>
      <c r="C1236" s="13" t="str">
        <f>"23.8"</f>
        <v>23.8</v>
      </c>
      <c r="D1236" s="32">
        <f>(C1236*1.24778761061)+(0.4)</f>
        <v>30.097345132518001</v>
      </c>
      <c r="E1236" s="33">
        <f>(C1236*1.16814159292)+(-1)</f>
        <v>26.801769911496002</v>
      </c>
      <c r="F1236" s="33">
        <f>(C1236*1.1238938053)+(-4.4)</f>
        <v>22.348672566140003</v>
      </c>
      <c r="G1236" s="33">
        <f>(C1236*1.06194690265)+(-5.9)</f>
        <v>19.374336283070001</v>
      </c>
      <c r="H1236" s="34">
        <f>(C1236*1.19469026548)+(0)</f>
        <v>28.433628318424002</v>
      </c>
      <c r="I1236" s="34">
        <f>(C1236*1.16814159292)+(-2)</f>
        <v>25.801769911496002</v>
      </c>
      <c r="J1236" s="34">
        <f>(C1236*1.1238938053)+(-3.9)</f>
        <v>22.848672566140003</v>
      </c>
      <c r="K1236" s="34">
        <f>(C1236*1.07964601769)+(-5.6)</f>
        <v>20.095575221022003</v>
      </c>
    </row>
    <row r="1237" spans="1:11" s="21" customFormat="1" ht="19.95" customHeight="1" x14ac:dyDescent="0.25">
      <c r="A1237" s="13" t="str">
        <f>"16845"</f>
        <v>16845</v>
      </c>
      <c r="B1237" s="14" t="s">
        <v>1581</v>
      </c>
      <c r="C1237" s="13" t="str">
        <f>"27.9"</f>
        <v>27.9</v>
      </c>
      <c r="D1237" s="32">
        <f>(C1237*1.24778761061)+(0.4)</f>
        <v>35.213274336018998</v>
      </c>
      <c r="E1237" s="33">
        <f>(C1237*1.16814159292)+(-1)</f>
        <v>31.591150442467999</v>
      </c>
      <c r="F1237" s="33">
        <f>(C1237*1.1238938053)+(-4.4)</f>
        <v>26.956637167869999</v>
      </c>
      <c r="G1237" s="33">
        <f>(C1237*1.06194690265)+(-5.9)</f>
        <v>23.728318583934993</v>
      </c>
      <c r="H1237" s="34">
        <f>(C1237*1.19469026548)+(0)</f>
        <v>33.331858406891996</v>
      </c>
      <c r="I1237" s="34">
        <f>(C1237*1.16814159292)+(-2)</f>
        <v>30.591150442467999</v>
      </c>
      <c r="J1237" s="34">
        <f>(C1237*1.1238938053)+(-3.9)</f>
        <v>27.456637167869999</v>
      </c>
      <c r="K1237" s="34">
        <f>(C1237*1.07964601769)+(-5.6)</f>
        <v>24.522123893550997</v>
      </c>
    </row>
    <row r="1238" spans="1:11" s="21" customFormat="1" ht="19.95" customHeight="1" x14ac:dyDescent="0.25">
      <c r="A1238" s="13" t="str">
        <f>"72402"</f>
        <v>72402</v>
      </c>
      <c r="B1238" s="14" t="s">
        <v>1582</v>
      </c>
      <c r="C1238" s="13" t="str">
        <f>"19.1"</f>
        <v>19.1</v>
      </c>
      <c r="D1238" s="32">
        <f>(C1238*1.24778761061)+(0.4)</f>
        <v>24.232743362651004</v>
      </c>
      <c r="E1238" s="33">
        <f>(C1238*1.16814159292)+(-1)</f>
        <v>21.311504424772004</v>
      </c>
      <c r="F1238" s="33">
        <f>(C1238*1.1238938053)+(-4.4)</f>
        <v>17.066371681230002</v>
      </c>
      <c r="G1238" s="33">
        <f>(C1238*1.06194690265)+(-5.9)</f>
        <v>14.383185840615001</v>
      </c>
      <c r="H1238" s="34">
        <f>(C1238*1.19469026548)+(0)</f>
        <v>22.818584070668003</v>
      </c>
      <c r="I1238" s="34">
        <f>(C1238*1.16814159292)+(-2)</f>
        <v>20.311504424772004</v>
      </c>
      <c r="J1238" s="34">
        <f>(C1238*1.1238938053)+(-3.9)</f>
        <v>17.566371681230002</v>
      </c>
      <c r="K1238" s="34">
        <f>(C1238*1.07964601769)+(-5.6)</f>
        <v>15.021238937879003</v>
      </c>
    </row>
    <row r="1239" spans="1:11" s="21" customFormat="1" ht="19.95" customHeight="1" x14ac:dyDescent="0.25">
      <c r="A1239" s="13" t="str">
        <f>"1008745"</f>
        <v>1008745</v>
      </c>
      <c r="B1239" s="14" t="s">
        <v>1583</v>
      </c>
      <c r="C1239" s="13" t="str">
        <f>"14.1"</f>
        <v>14.1</v>
      </c>
      <c r="D1239" s="32">
        <f>(C1239*1.24778761061)+(0.4)</f>
        <v>17.993805309601001</v>
      </c>
      <c r="E1239" s="33">
        <f>(C1239*1.16814159292)+(-1)</f>
        <v>15.470796460172</v>
      </c>
      <c r="F1239" s="33">
        <f>(C1239*1.1238938053)+(-4.4)</f>
        <v>11.44690265473</v>
      </c>
      <c r="G1239" s="33">
        <f>(C1239*1.06194690265)+(-5.9)</f>
        <v>9.0734513273649977</v>
      </c>
      <c r="H1239" s="34">
        <f>(C1239*1.19469026548)+(0)</f>
        <v>16.845132743268</v>
      </c>
      <c r="I1239" s="34">
        <f>(C1239*1.16814159292)+(-2)</f>
        <v>14.470796460172</v>
      </c>
      <c r="J1239" s="34">
        <f>(C1239*1.1238938053)+(-3.9)</f>
        <v>11.94690265473</v>
      </c>
      <c r="K1239" s="34">
        <f>(C1239*1.07964601769)+(-5.6)</f>
        <v>9.6230088494290005</v>
      </c>
    </row>
    <row r="1240" spans="1:11" s="21" customFormat="1" ht="19.95" customHeight="1" x14ac:dyDescent="0.25">
      <c r="A1240" s="13" t="str">
        <f>"41011"</f>
        <v>41011</v>
      </c>
      <c r="B1240" s="14" t="s">
        <v>1584</v>
      </c>
      <c r="C1240" s="13" t="str">
        <f>"21.6"</f>
        <v>21.6</v>
      </c>
      <c r="D1240" s="32">
        <f>(C1240*1.24778761061)+(0.4)</f>
        <v>27.352212389176003</v>
      </c>
      <c r="E1240" s="33">
        <f>(C1240*1.16814159292)+(-1)</f>
        <v>24.231858407072004</v>
      </c>
      <c r="F1240" s="33">
        <f>(C1240*1.1238938053)+(-4.4)</f>
        <v>19.876106194480002</v>
      </c>
      <c r="G1240" s="33">
        <f>(C1240*1.06194690265)+(-5.9)</f>
        <v>17.038053097240002</v>
      </c>
      <c r="H1240" s="34">
        <f>(C1240*1.19469026548)+(0)</f>
        <v>25.805309734368002</v>
      </c>
      <c r="I1240" s="34">
        <f>(C1240*1.16814159292)+(-2)</f>
        <v>23.231858407072004</v>
      </c>
      <c r="J1240" s="34">
        <f>(C1240*1.1238938053)+(-3.9)</f>
        <v>20.376106194480005</v>
      </c>
      <c r="K1240" s="34">
        <f>(C1240*1.07964601769)+(-5.6)</f>
        <v>17.720353982104001</v>
      </c>
    </row>
    <row r="1241" spans="1:11" s="21" customFormat="1" ht="19.95" customHeight="1" x14ac:dyDescent="0.25">
      <c r="A1241" s="13" t="str">
        <f>"5262"</f>
        <v>5262</v>
      </c>
      <c r="B1241" s="14" t="s">
        <v>1585</v>
      </c>
      <c r="C1241" s="13" t="str">
        <f>"12.8"</f>
        <v>12.8</v>
      </c>
      <c r="D1241" s="32">
        <f>(C1241*1.24778761061)+(0.4)</f>
        <v>16.371681415808002</v>
      </c>
      <c r="E1241" s="33">
        <f>(C1241*1.16814159292)+(-1)</f>
        <v>13.952212389376001</v>
      </c>
      <c r="F1241" s="33">
        <f>(C1241*1.1238938053)+(-4.4)</f>
        <v>9.9858407078400013</v>
      </c>
      <c r="G1241" s="33">
        <f>(C1241*1.06194690265)+(-5.9)</f>
        <v>7.69292035392</v>
      </c>
      <c r="H1241" s="34">
        <f>(C1241*1.19469026548)+(0)</f>
        <v>15.292035398144002</v>
      </c>
      <c r="I1241" s="34">
        <f>(C1241*1.16814159292)+(-2)</f>
        <v>12.952212389376001</v>
      </c>
      <c r="J1241" s="34">
        <f>(C1241*1.1238938053)+(-3.9)</f>
        <v>10.485840707840001</v>
      </c>
      <c r="K1241" s="34">
        <f>(C1241*1.07964601769)+(-5.6)</f>
        <v>8.2194690264320016</v>
      </c>
    </row>
    <row r="1242" spans="1:11" s="21" customFormat="1" ht="19.95" customHeight="1" x14ac:dyDescent="0.25">
      <c r="A1242" s="13" t="str">
        <f>"81277"</f>
        <v>81277</v>
      </c>
      <c r="B1242" s="14" t="s">
        <v>1586</v>
      </c>
      <c r="C1242" s="13" t="str">
        <f>"17.0"</f>
        <v>17.0</v>
      </c>
      <c r="D1242" s="32">
        <f>(C1242*1.24778761061)+(0.4)</f>
        <v>21.612389380370001</v>
      </c>
      <c r="E1242" s="33">
        <f>(C1242*1.16814159292)+(-1)</f>
        <v>18.858407079640003</v>
      </c>
      <c r="F1242" s="33">
        <f>(C1242*1.1238938053)+(-4.4)</f>
        <v>14.7061946901</v>
      </c>
      <c r="G1242" s="33">
        <f>(C1242*1.06194690265)+(-5.9)</f>
        <v>12.153097345049998</v>
      </c>
      <c r="H1242" s="34">
        <f>(C1242*1.19469026548)+(0)</f>
        <v>20.309734513159999</v>
      </c>
      <c r="I1242" s="34">
        <f>(C1242*1.16814159292)+(-2)</f>
        <v>17.858407079640003</v>
      </c>
      <c r="J1242" s="34">
        <f>(C1242*1.1238938053)+(-3.9)</f>
        <v>15.2061946901</v>
      </c>
      <c r="K1242" s="34">
        <f>(C1242*1.07964601769)+(-5.6)</f>
        <v>12.75398230073</v>
      </c>
    </row>
    <row r="1243" spans="1:11" s="21" customFormat="1" ht="19.95" customHeight="1" x14ac:dyDescent="0.25">
      <c r="A1243" s="13" t="str">
        <f>"42796"</f>
        <v>42796</v>
      </c>
      <c r="B1243" s="14" t="s">
        <v>1587</v>
      </c>
      <c r="C1243" s="13" t="str">
        <f>"18.8"</f>
        <v>18.8</v>
      </c>
      <c r="D1243" s="32">
        <f>(C1243*1.24778761061)+(0.4)</f>
        <v>23.858407079468002</v>
      </c>
      <c r="E1243" s="33">
        <f>(C1243*1.16814159292)+(-1)</f>
        <v>20.961061946896002</v>
      </c>
      <c r="F1243" s="33">
        <f>(C1243*1.1238938053)+(-4.4)</f>
        <v>16.729203539640004</v>
      </c>
      <c r="G1243" s="33">
        <f>(C1243*1.06194690265)+(-5.9)</f>
        <v>14.064601769819999</v>
      </c>
      <c r="H1243" s="34">
        <f>(C1243*1.19469026548)+(0)</f>
        <v>22.460176991023999</v>
      </c>
      <c r="I1243" s="34">
        <f>(C1243*1.16814159292)+(-2)</f>
        <v>19.961061946896002</v>
      </c>
      <c r="J1243" s="34">
        <f>(C1243*1.1238938053)+(-3.9)</f>
        <v>17.229203539640004</v>
      </c>
      <c r="K1243" s="34">
        <f>(C1243*1.07964601769)+(-5.6)</f>
        <v>14.697345132572002</v>
      </c>
    </row>
    <row r="1244" spans="1:11" s="21" customFormat="1" ht="19.95" customHeight="1" x14ac:dyDescent="0.25">
      <c r="A1244" s="13" t="str">
        <f>"69348"</f>
        <v>69348</v>
      </c>
      <c r="B1244" s="14" t="s">
        <v>1588</v>
      </c>
      <c r="C1244" s="13" t="str">
        <f>"21.9"</f>
        <v>21.9</v>
      </c>
      <c r="D1244" s="32">
        <f>(C1244*1.24778761061)+(0.4)</f>
        <v>27.726548672358998</v>
      </c>
      <c r="E1244" s="33">
        <f>(C1244*1.16814159292)+(-1)</f>
        <v>24.582300884948001</v>
      </c>
      <c r="F1244" s="33">
        <f>(C1244*1.1238938053)+(-4.4)</f>
        <v>20.21327433607</v>
      </c>
      <c r="G1244" s="33">
        <f>(C1244*1.06194690265)+(-5.9)</f>
        <v>17.356637168034993</v>
      </c>
      <c r="H1244" s="34">
        <f>(C1244*1.19469026548)+(0)</f>
        <v>26.163716814011998</v>
      </c>
      <c r="I1244" s="34">
        <f>(C1244*1.16814159292)+(-2)</f>
        <v>23.582300884948001</v>
      </c>
      <c r="J1244" s="34">
        <f>(C1244*1.1238938053)+(-3.9)</f>
        <v>20.71327433607</v>
      </c>
      <c r="K1244" s="34">
        <f>(C1244*1.07964601769)+(-5.6)</f>
        <v>18.044247787411003</v>
      </c>
    </row>
    <row r="1245" spans="1:11" s="21" customFormat="1" ht="19.95" customHeight="1" x14ac:dyDescent="0.25">
      <c r="A1245" s="13" t="str">
        <f>"73153"</f>
        <v>73153</v>
      </c>
      <c r="B1245" s="14" t="s">
        <v>1589</v>
      </c>
      <c r="C1245" s="13" t="str">
        <f>"17.1"</f>
        <v>17.1</v>
      </c>
      <c r="D1245" s="32">
        <f>(C1245*1.24778761061)+(0.4)</f>
        <v>21.737168141431003</v>
      </c>
      <c r="E1245" s="33">
        <f>(C1245*1.16814159292)+(-1)</f>
        <v>18.975221238932004</v>
      </c>
      <c r="F1245" s="33">
        <f>(C1245*1.1238938053)+(-4.4)</f>
        <v>14.818584070630001</v>
      </c>
      <c r="G1245" s="33">
        <f>(C1245*1.06194690265)+(-5.9)</f>
        <v>12.259292035315001</v>
      </c>
      <c r="H1245" s="34">
        <f>(C1245*1.19469026548)+(0)</f>
        <v>20.429203539708002</v>
      </c>
      <c r="I1245" s="34">
        <f>(C1245*1.16814159292)+(-2)</f>
        <v>17.975221238932004</v>
      </c>
      <c r="J1245" s="34">
        <f>(C1245*1.1238938053)+(-3.9)</f>
        <v>15.318584070630001</v>
      </c>
      <c r="K1245" s="34">
        <f>(C1245*1.07964601769)+(-5.6)</f>
        <v>12.861946902499001</v>
      </c>
    </row>
    <row r="1246" spans="1:11" s="21" customFormat="1" ht="19.95" customHeight="1" x14ac:dyDescent="0.25">
      <c r="A1246" s="13" t="str">
        <f>"76195"</f>
        <v>76195</v>
      </c>
      <c r="B1246" s="14" t="s">
        <v>1590</v>
      </c>
      <c r="C1246" s="13" t="str">
        <f>"8.5"</f>
        <v>8.5</v>
      </c>
      <c r="D1246" s="32">
        <f>(C1246*1.24778761061)+(0.4)</f>
        <v>11.006194690185001</v>
      </c>
      <c r="E1246" s="33">
        <f>(C1246*1.16814159292)+(-1)</f>
        <v>8.9292035398200014</v>
      </c>
      <c r="F1246" s="33">
        <f>(C1246*1.1238938053)+(-4.4)</f>
        <v>5.1530973450499999</v>
      </c>
      <c r="G1246" s="33">
        <f>(C1246*1.06194690265)+(-5.9)</f>
        <v>3.1265486725249989</v>
      </c>
      <c r="H1246" s="34">
        <f>(C1246*1.19469026548)+(0)</f>
        <v>10.154867256579999</v>
      </c>
      <c r="I1246" s="34">
        <f>(C1246*1.16814159292)+(-2)</f>
        <v>7.9292035398200014</v>
      </c>
      <c r="J1246" s="34">
        <f>(C1246*1.1238938053)+(-3.9)</f>
        <v>5.6530973450499999</v>
      </c>
      <c r="K1246" s="34">
        <f>(C1246*1.07964601769)+(-5.6)</f>
        <v>3.576991150365</v>
      </c>
    </row>
    <row r="1247" spans="1:11" s="21" customFormat="1" ht="19.95" customHeight="1" x14ac:dyDescent="0.25">
      <c r="A1247" s="13" t="str">
        <f>"16855"</f>
        <v>16855</v>
      </c>
      <c r="B1247" s="14" t="s">
        <v>1591</v>
      </c>
      <c r="C1247" s="13" t="str">
        <f>"2.9"</f>
        <v>2.9</v>
      </c>
      <c r="D1247" s="32">
        <f>(C1247*1.24778761061)+(0.4)</f>
        <v>4.0185840707690001</v>
      </c>
      <c r="E1247" s="33">
        <f>(C1247*1.16814159292)+(-1)</f>
        <v>2.387610619468</v>
      </c>
      <c r="F1247" s="33">
        <f>(C1247*1.1238938053)+(-4.4)</f>
        <v>-1.1407079646300002</v>
      </c>
      <c r="G1247" s="33">
        <f>(C1247*1.06194690265)+(-5.9)</f>
        <v>-2.8203539823150008</v>
      </c>
      <c r="H1247" s="34">
        <f>(C1247*1.19469026548)+(0)</f>
        <v>3.464601769892</v>
      </c>
      <c r="I1247" s="34">
        <f>(C1247*1.16814159292)+(-2)</f>
        <v>1.387610619468</v>
      </c>
      <c r="J1247" s="34">
        <f>(C1247*1.1238938053)+(-3.9)</f>
        <v>-0.64070796462999979</v>
      </c>
      <c r="K1247" s="34">
        <f>(C1247*1.07964601769)+(-5.6)</f>
        <v>-2.4690265486989995</v>
      </c>
    </row>
    <row r="1248" spans="1:11" s="21" customFormat="1" ht="19.95" customHeight="1" x14ac:dyDescent="0.25">
      <c r="A1248" s="13" t="str">
        <f>"16856"</f>
        <v>16856</v>
      </c>
      <c r="B1248" s="14" t="s">
        <v>1592</v>
      </c>
      <c r="C1248" s="13" t="str">
        <f>"17.7"</f>
        <v>17.7</v>
      </c>
      <c r="D1248" s="32">
        <f>(C1248*1.24778761061)+(0.4)</f>
        <v>22.485840707796999</v>
      </c>
      <c r="E1248" s="33">
        <f>(C1248*1.16814159292)+(-1)</f>
        <v>19.676106194683999</v>
      </c>
      <c r="F1248" s="33">
        <f>(C1248*1.1238938053)+(-4.4)</f>
        <v>15.492920353809998</v>
      </c>
      <c r="G1248" s="33">
        <f>(C1248*1.06194690265)+(-5.9)</f>
        <v>12.896460176904997</v>
      </c>
      <c r="H1248" s="34">
        <f>(C1248*1.19469026548)+(0)</f>
        <v>21.146017698996001</v>
      </c>
      <c r="I1248" s="34">
        <f>(C1248*1.16814159292)+(-2)</f>
        <v>18.676106194683999</v>
      </c>
      <c r="J1248" s="34">
        <f>(C1248*1.1238938053)+(-3.9)</f>
        <v>15.992920353809998</v>
      </c>
      <c r="K1248" s="34">
        <f>(C1248*1.07964601769)+(-5.6)</f>
        <v>13.509734513113001</v>
      </c>
    </row>
    <row r="1249" spans="1:11" s="21" customFormat="1" ht="19.95" customHeight="1" x14ac:dyDescent="0.25">
      <c r="A1249" s="13" t="str">
        <f>"19142"</f>
        <v>19142</v>
      </c>
      <c r="B1249" s="14" t="s">
        <v>1593</v>
      </c>
      <c r="C1249" s="13" t="str">
        <f>"3.6"</f>
        <v>3.6</v>
      </c>
      <c r="D1249" s="32">
        <f>(C1249*1.24778761061)+(0.4)</f>
        <v>4.8920353981960005</v>
      </c>
      <c r="E1249" s="33">
        <f>(C1249*1.16814159292)+(-1)</f>
        <v>3.2053097345120003</v>
      </c>
      <c r="F1249" s="33">
        <f>(C1249*1.1238938053)+(-4.4)</f>
        <v>-0.35398230092000027</v>
      </c>
      <c r="G1249" s="33">
        <f>(C1249*1.06194690265)+(-5.9)</f>
        <v>-2.0769911504600005</v>
      </c>
      <c r="H1249" s="34">
        <f>(C1249*1.19469026548)+(0)</f>
        <v>4.3008849557279998</v>
      </c>
      <c r="I1249" s="34">
        <f>(C1249*1.16814159292)+(-2)</f>
        <v>2.2053097345120003</v>
      </c>
      <c r="J1249" s="34">
        <f>(C1249*1.1238938053)+(-3.9)</f>
        <v>0.14601769908000017</v>
      </c>
      <c r="K1249" s="34">
        <f>(C1249*1.07964601769)+(-5.6)</f>
        <v>-1.7132743363159997</v>
      </c>
    </row>
    <row r="1250" spans="1:11" s="21" customFormat="1" ht="19.95" customHeight="1" x14ac:dyDescent="0.25">
      <c r="A1250" s="13" t="str">
        <f>"77443"</f>
        <v>77443</v>
      </c>
      <c r="B1250" s="14" t="s">
        <v>1594</v>
      </c>
      <c r="C1250" s="13" t="str">
        <f>"26.2"</f>
        <v>26.2</v>
      </c>
      <c r="D1250" s="32">
        <f>(C1250*1.24778761061)+(0.4)</f>
        <v>33.092035397982002</v>
      </c>
      <c r="E1250" s="33">
        <f>(C1250*1.16814159292)+(-1)</f>
        <v>29.605309734504001</v>
      </c>
      <c r="F1250" s="33">
        <f>(C1250*1.1238938053)+(-4.4)</f>
        <v>25.046017698859998</v>
      </c>
      <c r="G1250" s="33">
        <f>(C1250*1.06194690265)+(-5.9)</f>
        <v>21.923008849429998</v>
      </c>
      <c r="H1250" s="34">
        <f>(C1250*1.19469026548)+(0)</f>
        <v>31.300884955575999</v>
      </c>
      <c r="I1250" s="34">
        <f>(C1250*1.16814159292)+(-2)</f>
        <v>28.605309734504001</v>
      </c>
      <c r="J1250" s="34">
        <f>(C1250*1.1238938053)+(-3.9)</f>
        <v>25.546017698860002</v>
      </c>
      <c r="K1250" s="34">
        <f>(C1250*1.07964601769)+(-5.6)</f>
        <v>22.686725663478001</v>
      </c>
    </row>
    <row r="1251" spans="1:11" s="21" customFormat="1" ht="19.95" customHeight="1" x14ac:dyDescent="0.25">
      <c r="A1251" s="13" t="str">
        <f>"16858"</f>
        <v>16858</v>
      </c>
      <c r="B1251" s="14" t="s">
        <v>1595</v>
      </c>
      <c r="C1251" s="13" t="str">
        <f>"16.5"</f>
        <v>16.5</v>
      </c>
      <c r="D1251" s="32">
        <f>(C1251*1.24778761061)+(0.4)</f>
        <v>20.988495575064999</v>
      </c>
      <c r="E1251" s="33">
        <f>(C1251*1.16814159292)+(-1)</f>
        <v>18.274336283180002</v>
      </c>
      <c r="F1251" s="33">
        <f>(C1251*1.1238938053)+(-4.4)</f>
        <v>14.14424778745</v>
      </c>
      <c r="G1251" s="33">
        <f>(C1251*1.06194690265)+(-5.9)</f>
        <v>11.622123893724998</v>
      </c>
      <c r="H1251" s="34">
        <f>(C1251*1.19469026548)+(0)</f>
        <v>19.712389380419999</v>
      </c>
      <c r="I1251" s="34">
        <f>(C1251*1.16814159292)+(-2)</f>
        <v>17.274336283180002</v>
      </c>
      <c r="J1251" s="34">
        <f>(C1251*1.1238938053)+(-3.9)</f>
        <v>14.64424778745</v>
      </c>
      <c r="K1251" s="34">
        <f>(C1251*1.07964601769)+(-5.6)</f>
        <v>12.214159291885002</v>
      </c>
    </row>
    <row r="1252" spans="1:11" s="21" customFormat="1" ht="19.95" customHeight="1" x14ac:dyDescent="0.25">
      <c r="A1252" s="13" t="str">
        <f>"19705"</f>
        <v>19705</v>
      </c>
      <c r="B1252" s="14" t="s">
        <v>1596</v>
      </c>
      <c r="C1252" s="13" t="str">
        <f>"28.1"</f>
        <v>28.1</v>
      </c>
      <c r="D1252" s="32">
        <f>(C1252*1.24778761061)+(0.4)</f>
        <v>35.462831858141001</v>
      </c>
      <c r="E1252" s="33">
        <f>(C1252*1.16814159292)+(-1)</f>
        <v>31.824778761052002</v>
      </c>
      <c r="F1252" s="33">
        <f>(C1252*1.1238938053)+(-4.4)</f>
        <v>27.181415928930001</v>
      </c>
      <c r="G1252" s="33">
        <f>(C1252*1.06194690265)+(-5.9)</f>
        <v>23.940707964464998</v>
      </c>
      <c r="H1252" s="34">
        <f>(C1252*1.19469026548)+(0)</f>
        <v>33.570796459988003</v>
      </c>
      <c r="I1252" s="34">
        <f>(C1252*1.16814159292)+(-2)</f>
        <v>30.824778761052002</v>
      </c>
      <c r="J1252" s="34">
        <f>(C1252*1.1238938053)+(-3.9)</f>
        <v>27.681415928930004</v>
      </c>
      <c r="K1252" s="34">
        <f>(C1252*1.07964601769)+(-5.6)</f>
        <v>24.738053097089001</v>
      </c>
    </row>
    <row r="1253" spans="1:11" s="21" customFormat="1" ht="19.95" customHeight="1" x14ac:dyDescent="0.25">
      <c r="A1253" s="13" t="str">
        <f>"15819"</f>
        <v>15819</v>
      </c>
      <c r="B1253" s="14" t="s">
        <v>1597</v>
      </c>
      <c r="C1253" s="13" t="str">
        <f>"16.2"</f>
        <v>16.2</v>
      </c>
      <c r="D1253" s="32">
        <f>(C1253*1.24778761061)+(0.4)</f>
        <v>20.614159291882</v>
      </c>
      <c r="E1253" s="33">
        <f>(C1253*1.16814159292)+(-1)</f>
        <v>17.923893805304001</v>
      </c>
      <c r="F1253" s="33">
        <f>(C1253*1.1238938053)+(-4.4)</f>
        <v>13.807079645859998</v>
      </c>
      <c r="G1253" s="33">
        <f>(C1253*1.06194690265)+(-5.9)</f>
        <v>11.303539822929997</v>
      </c>
      <c r="H1253" s="34">
        <f>(C1253*1.19469026548)+(0)</f>
        <v>19.353982300776</v>
      </c>
      <c r="I1253" s="34">
        <f>(C1253*1.16814159292)+(-2)</f>
        <v>16.923893805304001</v>
      </c>
      <c r="J1253" s="34">
        <f>(C1253*1.1238938053)+(-3.9)</f>
        <v>14.307079645859998</v>
      </c>
      <c r="K1253" s="34">
        <f>(C1253*1.07964601769)+(-5.6)</f>
        <v>11.890265486578</v>
      </c>
    </row>
    <row r="1254" spans="1:11" s="21" customFormat="1" ht="19.95" customHeight="1" x14ac:dyDescent="0.25">
      <c r="A1254" s="13" t="str">
        <f>"16859"</f>
        <v>16859</v>
      </c>
      <c r="B1254" s="14" t="s">
        <v>1598</v>
      </c>
      <c r="C1254" s="13" t="str">
        <f>"22.8"</f>
        <v>22.8</v>
      </c>
      <c r="D1254" s="32">
        <f>(C1254*1.24778761061)+(0.4)</f>
        <v>28.849557521908</v>
      </c>
      <c r="E1254" s="33">
        <f>(C1254*1.16814159292)+(-1)</f>
        <v>25.633628318576001</v>
      </c>
      <c r="F1254" s="33">
        <f>(C1254*1.1238938053)+(-4.4)</f>
        <v>21.224778760840003</v>
      </c>
      <c r="G1254" s="33">
        <f>(C1254*1.06194690265)+(-5.9)</f>
        <v>18.312389380420001</v>
      </c>
      <c r="H1254" s="34">
        <f>(C1254*1.19469026548)+(0)</f>
        <v>27.238938052944</v>
      </c>
      <c r="I1254" s="34">
        <f>(C1254*1.16814159292)+(-2)</f>
        <v>24.633628318576001</v>
      </c>
      <c r="J1254" s="34">
        <f>(C1254*1.1238938053)+(-3.9)</f>
        <v>21.724778760840003</v>
      </c>
      <c r="K1254" s="34">
        <f>(C1254*1.07964601769)+(-5.6)</f>
        <v>19.015929203332</v>
      </c>
    </row>
    <row r="1255" spans="1:11" s="21" customFormat="1" ht="19.95" customHeight="1" x14ac:dyDescent="0.25">
      <c r="A1255" s="13" t="str">
        <f>"1002383"</f>
        <v>1002383</v>
      </c>
      <c r="B1255" s="14" t="s">
        <v>1599</v>
      </c>
      <c r="C1255" s="13" t="str">
        <f>"9.1"</f>
        <v>9.1</v>
      </c>
      <c r="D1255" s="32">
        <f>(C1255*1.24778761061)+(0.4)</f>
        <v>11.754867256551</v>
      </c>
      <c r="E1255" s="33">
        <f>(C1255*1.16814159292)+(-1)</f>
        <v>9.6300884955720001</v>
      </c>
      <c r="F1255" s="33">
        <f>(C1255*1.1238938053)+(-4.4)</f>
        <v>5.8274336282300006</v>
      </c>
      <c r="G1255" s="33">
        <f>(C1255*1.06194690265)+(-5.9)</f>
        <v>3.7637168141149981</v>
      </c>
      <c r="H1255" s="34">
        <f>(C1255*1.19469026548)+(0)</f>
        <v>10.871681415868</v>
      </c>
      <c r="I1255" s="34">
        <f>(C1255*1.16814159292)+(-2)</f>
        <v>8.6300884955720001</v>
      </c>
      <c r="J1255" s="34">
        <f>(C1255*1.1238938053)+(-3.9)</f>
        <v>6.3274336282300006</v>
      </c>
      <c r="K1255" s="34">
        <f>(C1255*1.07964601769)+(-5.6)</f>
        <v>4.2247787609789995</v>
      </c>
    </row>
    <row r="1256" spans="1:11" s="21" customFormat="1" ht="19.95" customHeight="1" x14ac:dyDescent="0.25">
      <c r="A1256" s="13" t="str">
        <f>"1002382"</f>
        <v>1002382</v>
      </c>
      <c r="B1256" s="14" t="s">
        <v>1600</v>
      </c>
      <c r="C1256" s="13" t="str">
        <f>"22.7"</f>
        <v>22.7</v>
      </c>
      <c r="D1256" s="32">
        <f>(C1256*1.24778761061)+(0.4)</f>
        <v>28.724778760846998</v>
      </c>
      <c r="E1256" s="33">
        <f>(C1256*1.16814159292)+(-1)</f>
        <v>25.516814159283999</v>
      </c>
      <c r="F1256" s="33">
        <f>(C1256*1.1238938053)+(-4.4)</f>
        <v>21.112389380309999</v>
      </c>
      <c r="G1256" s="33">
        <f>(C1256*1.06194690265)+(-5.9)</f>
        <v>18.206194690154994</v>
      </c>
      <c r="H1256" s="34">
        <f>(C1256*1.19469026548)+(0)</f>
        <v>27.119469026396001</v>
      </c>
      <c r="I1256" s="34">
        <f>(C1256*1.16814159292)+(-2)</f>
        <v>24.516814159283999</v>
      </c>
      <c r="J1256" s="34">
        <f>(C1256*1.1238938053)+(-3.9)</f>
        <v>21.612389380310002</v>
      </c>
      <c r="K1256" s="34">
        <f>(C1256*1.07964601769)+(-5.6)</f>
        <v>18.907964601563002</v>
      </c>
    </row>
    <row r="1257" spans="1:11" s="21" customFormat="1" ht="19.95" customHeight="1" x14ac:dyDescent="0.25">
      <c r="A1257" s="13" t="str">
        <f>"1007125"</f>
        <v>1007125</v>
      </c>
      <c r="B1257" s="14" t="s">
        <v>1601</v>
      </c>
      <c r="C1257" s="13" t="str">
        <f>"27.4"</f>
        <v>27.4</v>
      </c>
      <c r="D1257" s="32">
        <f>(C1257*1.24778761061)+(0.4)</f>
        <v>34.589380530714003</v>
      </c>
      <c r="E1257" s="33">
        <f>(C1257*1.16814159292)+(-1)</f>
        <v>31.007079646008002</v>
      </c>
      <c r="F1257" s="33">
        <f>(C1257*1.1238938053)+(-4.4)</f>
        <v>26.39469026522</v>
      </c>
      <c r="G1257" s="33">
        <f>(C1257*1.06194690265)+(-5.9)</f>
        <v>23.197345132609996</v>
      </c>
      <c r="H1257" s="34">
        <f>(C1257*1.19469026548)+(0)</f>
        <v>32.734513274152</v>
      </c>
      <c r="I1257" s="34">
        <f>(C1257*1.16814159292)+(-2)</f>
        <v>30.007079646008002</v>
      </c>
      <c r="J1257" s="34">
        <f>(C1257*1.1238938053)+(-3.9)</f>
        <v>26.89469026522</v>
      </c>
      <c r="K1257" s="34">
        <f>(C1257*1.07964601769)+(-5.6)</f>
        <v>23.982300884706</v>
      </c>
    </row>
    <row r="1258" spans="1:11" s="21" customFormat="1" ht="19.95" customHeight="1" x14ac:dyDescent="0.25">
      <c r="A1258" s="13" t="str">
        <f>"16866"</f>
        <v>16866</v>
      </c>
      <c r="B1258" s="14" t="s">
        <v>1602</v>
      </c>
      <c r="C1258" s="13" t="str">
        <f>"26.5"</f>
        <v>26.5</v>
      </c>
      <c r="D1258" s="32">
        <f>(C1258*1.24778761061)+(0.4)</f>
        <v>33.466371681165</v>
      </c>
      <c r="E1258" s="33">
        <f>(C1258*1.16814159292)+(-1)</f>
        <v>29.955752212380002</v>
      </c>
      <c r="F1258" s="33">
        <f>(C1258*1.1238938053)+(-4.4)</f>
        <v>25.383185840450004</v>
      </c>
      <c r="G1258" s="33">
        <f>(C1258*1.06194690265)+(-5.9)</f>
        <v>22.241592920224996</v>
      </c>
      <c r="H1258" s="34">
        <f>(C1258*1.19469026548)+(0)</f>
        <v>31.659292035220002</v>
      </c>
      <c r="I1258" s="34">
        <f>(C1258*1.16814159292)+(-2)</f>
        <v>28.955752212380002</v>
      </c>
      <c r="J1258" s="34">
        <f>(C1258*1.1238938053)+(-3.9)</f>
        <v>25.883185840450004</v>
      </c>
      <c r="K1258" s="34">
        <f>(C1258*1.07964601769)+(-5.6)</f>
        <v>23.010619468785002</v>
      </c>
    </row>
    <row r="1259" spans="1:11" s="21" customFormat="1" ht="19.95" customHeight="1" x14ac:dyDescent="0.25">
      <c r="A1259" s="13" t="str">
        <f>"16867"</f>
        <v>16867</v>
      </c>
      <c r="B1259" s="14" t="s">
        <v>1603</v>
      </c>
      <c r="C1259" s="13" t="str">
        <f>"12.1"</f>
        <v>12.1</v>
      </c>
      <c r="D1259" s="32">
        <f>(C1259*1.24778761061)+(0.4)</f>
        <v>15.498230088381002</v>
      </c>
      <c r="E1259" s="33">
        <f>(C1259*1.16814159292)+(-1)</f>
        <v>13.134513274332001</v>
      </c>
      <c r="F1259" s="33">
        <f>(C1259*1.1238938053)+(-4.4)</f>
        <v>9.19911504413</v>
      </c>
      <c r="G1259" s="33">
        <f>(C1259*1.06194690265)+(-5.9)</f>
        <v>6.9495575220649979</v>
      </c>
      <c r="H1259" s="34">
        <f>(C1259*1.19469026548)+(0)</f>
        <v>14.455752212307999</v>
      </c>
      <c r="I1259" s="34">
        <f>(C1259*1.16814159292)+(-2)</f>
        <v>12.134513274332001</v>
      </c>
      <c r="J1259" s="34">
        <f>(C1259*1.1238938053)+(-3.9)</f>
        <v>9.69911504413</v>
      </c>
      <c r="K1259" s="34">
        <f>(C1259*1.07964601769)+(-5.6)</f>
        <v>7.4637168140490004</v>
      </c>
    </row>
    <row r="1260" spans="1:11" s="21" customFormat="1" ht="19.95" customHeight="1" x14ac:dyDescent="0.25">
      <c r="A1260" s="13" t="str">
        <f>"23630"</f>
        <v>23630</v>
      </c>
      <c r="B1260" s="14" t="s">
        <v>1604</v>
      </c>
      <c r="C1260" s="13" t="str">
        <f>"24.1"</f>
        <v>24.1</v>
      </c>
      <c r="D1260" s="32">
        <f>(C1260*1.24778761061)+(0.4)</f>
        <v>30.471681415701003</v>
      </c>
      <c r="E1260" s="33">
        <f>(C1260*1.16814159292)+(-1)</f>
        <v>27.152212389372004</v>
      </c>
      <c r="F1260" s="33">
        <f>(C1260*1.1238938053)+(-4.4)</f>
        <v>22.685840707730001</v>
      </c>
      <c r="G1260" s="33">
        <f>(C1260*1.06194690265)+(-5.9)</f>
        <v>19.692920353864999</v>
      </c>
      <c r="H1260" s="34">
        <f>(C1260*1.19469026548)+(0)</f>
        <v>28.792035398068002</v>
      </c>
      <c r="I1260" s="34">
        <f>(C1260*1.16814159292)+(-2)</f>
        <v>26.152212389372004</v>
      </c>
      <c r="J1260" s="34">
        <f>(C1260*1.1238938053)+(-3.9)</f>
        <v>23.185840707730005</v>
      </c>
      <c r="K1260" s="34">
        <f>(C1260*1.07964601769)+(-5.6)</f>
        <v>20.419469026329004</v>
      </c>
    </row>
    <row r="1261" spans="1:11" s="21" customFormat="1" ht="19.95" customHeight="1" x14ac:dyDescent="0.25">
      <c r="A1261" s="13" t="str">
        <f>"28754"</f>
        <v>28754</v>
      </c>
      <c r="B1261" s="14" t="s">
        <v>1605</v>
      </c>
      <c r="C1261" s="13" t="str">
        <f>"10.4"</f>
        <v>10.4</v>
      </c>
      <c r="D1261" s="32">
        <f>(C1261*1.24778761061)+(0.4)</f>
        <v>13.376991150344002</v>
      </c>
      <c r="E1261" s="33">
        <f>(C1261*1.16814159292)+(-1)</f>
        <v>11.148672566368001</v>
      </c>
      <c r="F1261" s="33">
        <f>(C1261*1.1238938053)+(-4.4)</f>
        <v>7.2884955751200007</v>
      </c>
      <c r="G1261" s="33">
        <f>(C1261*1.06194690265)+(-5.9)</f>
        <v>5.1442477875599995</v>
      </c>
      <c r="H1261" s="34">
        <f>(C1261*1.19469026548)+(0)</f>
        <v>12.424778760992</v>
      </c>
      <c r="I1261" s="34">
        <f>(C1261*1.16814159292)+(-2)</f>
        <v>10.148672566368001</v>
      </c>
      <c r="J1261" s="34">
        <f>(C1261*1.1238938053)+(-3.9)</f>
        <v>7.7884955751200007</v>
      </c>
      <c r="K1261" s="34">
        <f>(C1261*1.07964601769)+(-5.6)</f>
        <v>5.6283185839760002</v>
      </c>
    </row>
    <row r="1262" spans="1:11" s="21" customFormat="1" ht="19.95" customHeight="1" x14ac:dyDescent="0.25">
      <c r="A1262" s="13" t="str">
        <f>"37474"</f>
        <v>37474</v>
      </c>
      <c r="B1262" s="14" t="s">
        <v>1606</v>
      </c>
      <c r="C1262" s="13" t="str">
        <f>"29.7"</f>
        <v>29.7</v>
      </c>
      <c r="D1262" s="32">
        <f>(C1262*1.24778761061)+(0.4)</f>
        <v>37.459292035117002</v>
      </c>
      <c r="E1262" s="33">
        <f>(C1262*1.16814159292)+(-1)</f>
        <v>33.693805309723999</v>
      </c>
      <c r="F1262" s="33">
        <f>(C1262*1.1238938053)+(-4.4)</f>
        <v>28.979646017410005</v>
      </c>
      <c r="G1262" s="33">
        <f>(C1262*1.06194690265)+(-5.9)</f>
        <v>25.639823008704994</v>
      </c>
      <c r="H1262" s="34">
        <f>(C1262*1.19469026548)+(0)</f>
        <v>35.482300884756</v>
      </c>
      <c r="I1262" s="34">
        <f>(C1262*1.16814159292)+(-2)</f>
        <v>32.693805309723999</v>
      </c>
      <c r="J1262" s="34">
        <f>(C1262*1.1238938053)+(-3.9)</f>
        <v>29.479646017410005</v>
      </c>
      <c r="K1262" s="34">
        <f>(C1262*1.07964601769)+(-5.6)</f>
        <v>26.465486725392999</v>
      </c>
    </row>
    <row r="1263" spans="1:11" s="21" customFormat="1" ht="19.95" customHeight="1" x14ac:dyDescent="0.25">
      <c r="A1263" s="13" t="str">
        <f>"37150"</f>
        <v>37150</v>
      </c>
      <c r="B1263" s="14" t="s">
        <v>1607</v>
      </c>
      <c r="C1263" s="13" t="str">
        <f>"16.5"</f>
        <v>16.5</v>
      </c>
      <c r="D1263" s="32">
        <f>(C1263*1.24778761061)+(0.4)</f>
        <v>20.988495575064999</v>
      </c>
      <c r="E1263" s="33">
        <f>(C1263*1.16814159292)+(-1)</f>
        <v>18.274336283180002</v>
      </c>
      <c r="F1263" s="33">
        <f>(C1263*1.1238938053)+(-4.4)</f>
        <v>14.14424778745</v>
      </c>
      <c r="G1263" s="33">
        <f>(C1263*1.06194690265)+(-5.9)</f>
        <v>11.622123893724998</v>
      </c>
      <c r="H1263" s="34">
        <f>(C1263*1.19469026548)+(0)</f>
        <v>19.712389380419999</v>
      </c>
      <c r="I1263" s="34">
        <f>(C1263*1.16814159292)+(-2)</f>
        <v>17.274336283180002</v>
      </c>
      <c r="J1263" s="34">
        <f>(C1263*1.1238938053)+(-3.9)</f>
        <v>14.64424778745</v>
      </c>
      <c r="K1263" s="34">
        <f>(C1263*1.07964601769)+(-5.6)</f>
        <v>12.214159291885002</v>
      </c>
    </row>
    <row r="1264" spans="1:11" s="21" customFormat="1" ht="19.95" customHeight="1" x14ac:dyDescent="0.25">
      <c r="A1264" s="13" t="str">
        <f>"16873"</f>
        <v>16873</v>
      </c>
      <c r="B1264" s="14" t="s">
        <v>1608</v>
      </c>
      <c r="C1264" s="13" t="str">
        <f>"20.2"</f>
        <v>20.2</v>
      </c>
      <c r="D1264" s="32">
        <f>(C1264*1.24778761061)+(0.4)</f>
        <v>25.605309734321999</v>
      </c>
      <c r="E1264" s="33">
        <f>(C1264*1.16814159292)+(-1)</f>
        <v>22.596460176983999</v>
      </c>
      <c r="F1264" s="33">
        <f>(C1264*1.1238938053)+(-4.4)</f>
        <v>18.302654867059999</v>
      </c>
      <c r="G1264" s="33">
        <f>(C1264*1.06194690265)+(-5.9)</f>
        <v>15.551327433529996</v>
      </c>
      <c r="H1264" s="34">
        <f>(C1264*1.19469026548)+(0)</f>
        <v>24.132743362696001</v>
      </c>
      <c r="I1264" s="34">
        <f>(C1264*1.16814159292)+(-2)</f>
        <v>21.596460176983999</v>
      </c>
      <c r="J1264" s="34">
        <f>(C1264*1.1238938053)+(-3.9)</f>
        <v>18.802654867060003</v>
      </c>
      <c r="K1264" s="34">
        <f>(C1264*1.07964601769)+(-5.6)</f>
        <v>16.208849557337999</v>
      </c>
    </row>
    <row r="1265" spans="1:11" s="21" customFormat="1" ht="19.95" customHeight="1" x14ac:dyDescent="0.25">
      <c r="A1265" s="13" t="str">
        <f>"4201"</f>
        <v>4201</v>
      </c>
      <c r="B1265" s="14" t="s">
        <v>1609</v>
      </c>
      <c r="C1265" s="13" t="str">
        <f>"20.3"</f>
        <v>20.3</v>
      </c>
      <c r="D1265" s="32">
        <f>(C1265*1.24778761061)+(0.4)</f>
        <v>25.730088495383001</v>
      </c>
      <c r="E1265" s="33">
        <f>(C1265*1.16814159292)+(-1)</f>
        <v>22.713274336276001</v>
      </c>
      <c r="F1265" s="33">
        <f>(C1265*1.1238938053)+(-4.4)</f>
        <v>18.415044247590004</v>
      </c>
      <c r="G1265" s="33">
        <f>(C1265*1.06194690265)+(-5.9)</f>
        <v>15.657522123794999</v>
      </c>
      <c r="H1265" s="34">
        <f>(C1265*1.19469026548)+(0)</f>
        <v>24.252212389244001</v>
      </c>
      <c r="I1265" s="34">
        <f>(C1265*1.16814159292)+(-2)</f>
        <v>21.713274336276001</v>
      </c>
      <c r="J1265" s="34">
        <f>(C1265*1.1238938053)+(-3.9)</f>
        <v>18.915044247590004</v>
      </c>
      <c r="K1265" s="34">
        <f>(C1265*1.07964601769)+(-5.6)</f>
        <v>16.316814159107004</v>
      </c>
    </row>
    <row r="1266" spans="1:11" s="21" customFormat="1" ht="19.95" customHeight="1" x14ac:dyDescent="0.25">
      <c r="A1266" s="13" t="str">
        <f>"1011860"</f>
        <v>1011860</v>
      </c>
      <c r="B1266" s="14" t="s">
        <v>1610</v>
      </c>
      <c r="C1266" s="13" t="str">
        <f>"24.0"</f>
        <v>24.0</v>
      </c>
      <c r="D1266" s="32">
        <f>(C1266*1.24778761061)+(0.4)</f>
        <v>30.346902654640001</v>
      </c>
      <c r="E1266" s="33">
        <f>(C1266*1.16814159292)+(-1)</f>
        <v>27.035398230080002</v>
      </c>
      <c r="F1266" s="33">
        <f>(C1266*1.1238938053)+(-4.4)</f>
        <v>22.573451327200004</v>
      </c>
      <c r="G1266" s="33">
        <f>(C1266*1.06194690265)+(-5.9)</f>
        <v>19.586725663599999</v>
      </c>
      <c r="H1266" s="34">
        <f>(C1266*1.19469026548)+(0)</f>
        <v>28.672566371519999</v>
      </c>
      <c r="I1266" s="34">
        <f>(C1266*1.16814159292)+(-2)</f>
        <v>26.035398230080002</v>
      </c>
      <c r="J1266" s="34">
        <f>(C1266*1.1238938053)+(-3.9)</f>
        <v>23.073451327200004</v>
      </c>
      <c r="K1266" s="34">
        <f>(C1266*1.07964601769)+(-5.6)</f>
        <v>20.311504424559999</v>
      </c>
    </row>
    <row r="1267" spans="1:11" s="21" customFormat="1" ht="19.95" customHeight="1" x14ac:dyDescent="0.25">
      <c r="A1267" s="13" t="str">
        <f>"75974"</f>
        <v>75974</v>
      </c>
      <c r="B1267" s="14" t="s">
        <v>1611</v>
      </c>
      <c r="C1267" s="13" t="str">
        <f>"12.6"</f>
        <v>12.6</v>
      </c>
      <c r="D1267" s="32">
        <f>(C1267*1.24778761061)+(0.4)</f>
        <v>16.122123893686002</v>
      </c>
      <c r="E1267" s="33">
        <f>(C1267*1.16814159292)+(-1)</f>
        <v>13.718584070792001</v>
      </c>
      <c r="F1267" s="33">
        <f>(C1267*1.1238938053)+(-4.4)</f>
        <v>9.7610619467799999</v>
      </c>
      <c r="G1267" s="33">
        <f>(C1267*1.06194690265)+(-5.9)</f>
        <v>7.4805309733899978</v>
      </c>
      <c r="H1267" s="34">
        <f>(C1267*1.19469026548)+(0)</f>
        <v>15.053097345048</v>
      </c>
      <c r="I1267" s="34">
        <f>(C1267*1.16814159292)+(-2)</f>
        <v>12.718584070792001</v>
      </c>
      <c r="J1267" s="34">
        <f>(C1267*1.1238938053)+(-3.9)</f>
        <v>10.26106194678</v>
      </c>
      <c r="K1267" s="34">
        <f>(C1267*1.07964601769)+(-5.6)</f>
        <v>8.003539822894</v>
      </c>
    </row>
    <row r="1268" spans="1:11" s="21" customFormat="1" ht="19.95" customHeight="1" x14ac:dyDescent="0.25">
      <c r="A1268" s="13" t="str">
        <f>"16874"</f>
        <v>16874</v>
      </c>
      <c r="B1268" s="14" t="s">
        <v>1612</v>
      </c>
      <c r="C1268" s="13" t="str">
        <f>"23.0"</f>
        <v>23.0</v>
      </c>
      <c r="D1268" s="32">
        <f>(C1268*1.24778761061)+(0.4)</f>
        <v>29.09911504403</v>
      </c>
      <c r="E1268" s="33">
        <f>(C1268*1.16814159292)+(-1)</f>
        <v>25.867256637160001</v>
      </c>
      <c r="F1268" s="33">
        <f>(C1268*1.1238938053)+(-4.4)</f>
        <v>21.449557521899997</v>
      </c>
      <c r="G1268" s="33">
        <f>(C1268*1.06194690265)+(-5.9)</f>
        <v>18.524778760949999</v>
      </c>
      <c r="H1268" s="34">
        <f>(C1268*1.19469026548)+(0)</f>
        <v>27.47787610604</v>
      </c>
      <c r="I1268" s="34">
        <f>(C1268*1.16814159292)+(-2)</f>
        <v>24.867256637160001</v>
      </c>
      <c r="J1268" s="34">
        <f>(C1268*1.1238938053)+(-3.9)</f>
        <v>21.949557521900001</v>
      </c>
      <c r="K1268" s="34">
        <f>(C1268*1.07964601769)+(-5.6)</f>
        <v>19.231858406870003</v>
      </c>
    </row>
    <row r="1269" spans="1:11" s="21" customFormat="1" ht="19.95" customHeight="1" x14ac:dyDescent="0.25">
      <c r="A1269" s="13" t="str">
        <f>"16876"</f>
        <v>16876</v>
      </c>
      <c r="B1269" s="14" t="s">
        <v>1613</v>
      </c>
      <c r="C1269" s="13" t="str">
        <f>"17.6"</f>
        <v>17.6</v>
      </c>
      <c r="D1269" s="32">
        <f>(C1269*1.24778761061)+(0.4)</f>
        <v>22.361061946736001</v>
      </c>
      <c r="E1269" s="33">
        <f>(C1269*1.16814159292)+(-1)</f>
        <v>19.559292035392001</v>
      </c>
      <c r="F1269" s="33">
        <f>(C1269*1.1238938053)+(-4.4)</f>
        <v>15.380530973280001</v>
      </c>
      <c r="G1269" s="33">
        <f>(C1269*1.06194690265)+(-5.9)</f>
        <v>12.790265486640001</v>
      </c>
      <c r="H1269" s="34">
        <f>(C1269*1.19469026548)+(0)</f>
        <v>21.026548672448001</v>
      </c>
      <c r="I1269" s="34">
        <f>(C1269*1.16814159292)+(-2)</f>
        <v>18.559292035392001</v>
      </c>
      <c r="J1269" s="34">
        <f>(C1269*1.1238938053)+(-3.9)</f>
        <v>15.880530973280001</v>
      </c>
      <c r="K1269" s="34">
        <f>(C1269*1.07964601769)+(-5.6)</f>
        <v>13.401769911344003</v>
      </c>
    </row>
    <row r="1270" spans="1:11" s="21" customFormat="1" ht="19.95" customHeight="1" x14ac:dyDescent="0.25">
      <c r="A1270" s="13" t="str">
        <f>"1008202"</f>
        <v>1008202</v>
      </c>
      <c r="B1270" s="14" t="s">
        <v>1614</v>
      </c>
      <c r="C1270" s="13" t="str">
        <f>"40.9"</f>
        <v>40.9</v>
      </c>
      <c r="D1270" s="32">
        <f>(C1270*1.24778761061)+(0.4)</f>
        <v>51.434513273949001</v>
      </c>
      <c r="E1270" s="33">
        <f>(C1270*1.16814159292)+(-1)</f>
        <v>46.776991150428003</v>
      </c>
      <c r="F1270" s="33">
        <f>(C1270*1.1238938053)+(-4.4)</f>
        <v>41.567256636770004</v>
      </c>
      <c r="G1270" s="33">
        <f>(C1270*1.06194690265)+(-5.9)</f>
        <v>37.533628318384999</v>
      </c>
      <c r="H1270" s="34">
        <f>(C1270*1.19469026548)+(0)</f>
        <v>48.862831858131997</v>
      </c>
      <c r="I1270" s="34">
        <f>(C1270*1.16814159292)+(-2)</f>
        <v>45.776991150428003</v>
      </c>
      <c r="J1270" s="34">
        <f>(C1270*1.1238938053)+(-3.9)</f>
        <v>42.067256636770004</v>
      </c>
      <c r="K1270" s="34">
        <f>(C1270*1.07964601769)+(-5.6)</f>
        <v>38.557522123520997</v>
      </c>
    </row>
    <row r="1271" spans="1:11" s="21" customFormat="1" ht="19.95" customHeight="1" x14ac:dyDescent="0.25">
      <c r="A1271" s="13" t="str">
        <f>"16880"</f>
        <v>16880</v>
      </c>
      <c r="B1271" s="14" t="s">
        <v>1615</v>
      </c>
      <c r="C1271" s="13" t="str">
        <f>"14.0"</f>
        <v>14.0</v>
      </c>
      <c r="D1271" s="32">
        <f>(C1271*1.24778761061)+(0.4)</f>
        <v>17.869026548539999</v>
      </c>
      <c r="E1271" s="33">
        <f>(C1271*1.16814159292)+(-1)</f>
        <v>15.353982300880002</v>
      </c>
      <c r="F1271" s="33">
        <f>(C1271*1.1238938053)+(-4.4)</f>
        <v>11.334513274200001</v>
      </c>
      <c r="G1271" s="33">
        <f>(C1271*1.06194690265)+(-5.9)</f>
        <v>8.9672566370999984</v>
      </c>
      <c r="H1271" s="34">
        <f>(C1271*1.19469026548)+(0)</f>
        <v>16.72566371672</v>
      </c>
      <c r="I1271" s="34">
        <f>(C1271*1.16814159292)+(-2)</f>
        <v>14.353982300880002</v>
      </c>
      <c r="J1271" s="34">
        <f>(C1271*1.1238938053)+(-3.9)</f>
        <v>11.834513274200001</v>
      </c>
      <c r="K1271" s="34">
        <f>(C1271*1.07964601769)+(-5.6)</f>
        <v>9.5150442476600006</v>
      </c>
    </row>
    <row r="1272" spans="1:11" s="21" customFormat="1" ht="19.95" customHeight="1" x14ac:dyDescent="0.25">
      <c r="A1272" s="13" t="str">
        <f>"1006808"</f>
        <v>1006808</v>
      </c>
      <c r="B1272" s="14" t="s">
        <v>1616</v>
      </c>
      <c r="C1272" s="13" t="str">
        <f>"23.7"</f>
        <v>23.7</v>
      </c>
      <c r="D1272" s="32">
        <f>(C1272*1.24778761061)+(0.4)</f>
        <v>29.972566371456999</v>
      </c>
      <c r="E1272" s="33">
        <f>(C1272*1.16814159292)+(-1)</f>
        <v>26.684955752204001</v>
      </c>
      <c r="F1272" s="33">
        <f>(C1272*1.1238938053)+(-4.4)</f>
        <v>22.236283185609999</v>
      </c>
      <c r="G1272" s="33">
        <f>(C1272*1.06194690265)+(-5.9)</f>
        <v>19.268141592804994</v>
      </c>
      <c r="H1272" s="34">
        <f>(C1272*1.19469026548)+(0)</f>
        <v>28.314159291875999</v>
      </c>
      <c r="I1272" s="34">
        <f>(C1272*1.16814159292)+(-2)</f>
        <v>25.684955752204001</v>
      </c>
      <c r="J1272" s="34">
        <f>(C1272*1.1238938053)+(-3.9)</f>
        <v>22.736283185610002</v>
      </c>
      <c r="K1272" s="34">
        <f>(C1272*1.07964601769)+(-5.6)</f>
        <v>19.987610619252997</v>
      </c>
    </row>
    <row r="1273" spans="1:11" s="21" customFormat="1" ht="19.95" customHeight="1" x14ac:dyDescent="0.25">
      <c r="A1273" s="13" t="str">
        <f>"16881"</f>
        <v>16881</v>
      </c>
      <c r="B1273" s="14" t="s">
        <v>1617</v>
      </c>
      <c r="C1273" s="13" t="str">
        <f>"24.7"</f>
        <v>24.7</v>
      </c>
      <c r="D1273" s="32">
        <f>(C1273*1.24778761061)+(0.4)</f>
        <v>31.220353982067</v>
      </c>
      <c r="E1273" s="33">
        <f>(C1273*1.16814159292)+(-1)</f>
        <v>27.853097345124002</v>
      </c>
      <c r="F1273" s="33">
        <f>(C1273*1.1238938053)+(-4.4)</f>
        <v>23.360176990909999</v>
      </c>
      <c r="G1273" s="33">
        <f>(C1273*1.06194690265)+(-5.9)</f>
        <v>20.330088495454994</v>
      </c>
      <c r="H1273" s="34">
        <f>(C1273*1.19469026548)+(0)</f>
        <v>29.508849557356001</v>
      </c>
      <c r="I1273" s="34">
        <f>(C1273*1.16814159292)+(-2)</f>
        <v>26.853097345124002</v>
      </c>
      <c r="J1273" s="34">
        <f>(C1273*1.1238938053)+(-3.9)</f>
        <v>23.860176990910002</v>
      </c>
      <c r="K1273" s="34">
        <f>(C1273*1.07964601769)+(-5.6)</f>
        <v>21.067256636943</v>
      </c>
    </row>
    <row r="1274" spans="1:11" s="21" customFormat="1" ht="19.95" customHeight="1" x14ac:dyDescent="0.25">
      <c r="A1274" s="13" t="str">
        <f>"1001715"</f>
        <v>1001715</v>
      </c>
      <c r="B1274" s="14" t="s">
        <v>1618</v>
      </c>
      <c r="C1274" s="13" t="str">
        <f>"16.1"</f>
        <v>16.1</v>
      </c>
      <c r="D1274" s="32">
        <f>(C1274*1.24778761061)+(0.4)</f>
        <v>20.489380530821002</v>
      </c>
      <c r="E1274" s="33">
        <f>(C1274*1.16814159292)+(-1)</f>
        <v>17.807079646012003</v>
      </c>
      <c r="F1274" s="33">
        <f>(C1274*1.1238938053)+(-4.4)</f>
        <v>13.694690265330001</v>
      </c>
      <c r="G1274" s="33">
        <f>(C1274*1.06194690265)+(-5.9)</f>
        <v>11.197345132665001</v>
      </c>
      <c r="H1274" s="34">
        <f>(C1274*1.19469026548)+(0)</f>
        <v>19.234513274228004</v>
      </c>
      <c r="I1274" s="34">
        <f>(C1274*1.16814159292)+(-2)</f>
        <v>16.807079646012003</v>
      </c>
      <c r="J1274" s="34">
        <f>(C1274*1.1238938053)+(-3.9)</f>
        <v>14.194690265330001</v>
      </c>
      <c r="K1274" s="34">
        <f>(C1274*1.07964601769)+(-5.6)</f>
        <v>11.782300884809002</v>
      </c>
    </row>
    <row r="1275" spans="1:11" s="21" customFormat="1" ht="19.95" customHeight="1" x14ac:dyDescent="0.25">
      <c r="A1275" s="13" t="str">
        <f>"75641"</f>
        <v>75641</v>
      </c>
      <c r="B1275" s="14" t="s">
        <v>1619</v>
      </c>
      <c r="C1275" s="13" t="str">
        <f>"31.4"</f>
        <v>31.4</v>
      </c>
      <c r="D1275" s="32">
        <f>(C1275*1.24778761061)+(0.4)</f>
        <v>39.580530973153998</v>
      </c>
      <c r="E1275" s="33">
        <f>(C1275*1.16814159292)+(-1)</f>
        <v>35.679646017688</v>
      </c>
      <c r="F1275" s="33">
        <f>(C1275*1.1238938053)+(-4.4)</f>
        <v>30.890265486419999</v>
      </c>
      <c r="G1275" s="33">
        <f>(C1275*1.06194690265)+(-5.9)</f>
        <v>27.445132743209996</v>
      </c>
      <c r="H1275" s="34">
        <f>(C1275*1.19469026548)+(0)</f>
        <v>37.513274336072001</v>
      </c>
      <c r="I1275" s="34">
        <f>(C1275*1.16814159292)+(-2)</f>
        <v>34.679646017688</v>
      </c>
      <c r="J1275" s="34">
        <f>(C1275*1.1238938053)+(-3.9)</f>
        <v>31.390265486419999</v>
      </c>
      <c r="K1275" s="34">
        <f>(C1275*1.07964601769)+(-5.6)</f>
        <v>28.300884955465996</v>
      </c>
    </row>
    <row r="1276" spans="1:11" s="21" customFormat="1" ht="19.95" customHeight="1" x14ac:dyDescent="0.25">
      <c r="A1276" s="13" t="str">
        <f>"16886"</f>
        <v>16886</v>
      </c>
      <c r="B1276" s="14" t="s">
        <v>1620</v>
      </c>
      <c r="C1276" s="13" t="str">
        <f>"21.3"</f>
        <v>21.3</v>
      </c>
      <c r="D1276" s="32">
        <f>(C1276*1.24778761061)+(0.4)</f>
        <v>26.977876105993001</v>
      </c>
      <c r="E1276" s="33">
        <f>(C1276*1.16814159292)+(-1)</f>
        <v>23.881415929196002</v>
      </c>
      <c r="F1276" s="33">
        <f>(C1276*1.1238938053)+(-4.4)</f>
        <v>19.538938052890003</v>
      </c>
      <c r="G1276" s="33">
        <f>(C1276*1.06194690265)+(-5.9)</f>
        <v>16.719469026444997</v>
      </c>
      <c r="H1276" s="34">
        <f>(C1276*1.19469026548)+(0)</f>
        <v>25.446902654724003</v>
      </c>
      <c r="I1276" s="34">
        <f>(C1276*1.16814159292)+(-2)</f>
        <v>22.881415929196002</v>
      </c>
      <c r="J1276" s="34">
        <f>(C1276*1.1238938053)+(-3.9)</f>
        <v>20.038938052890003</v>
      </c>
      <c r="K1276" s="34">
        <f>(C1276*1.07964601769)+(-5.6)</f>
        <v>17.396460176797</v>
      </c>
    </row>
    <row r="1277" spans="1:11" s="21" customFormat="1" ht="19.95" customHeight="1" x14ac:dyDescent="0.25">
      <c r="A1277" s="13" t="str">
        <f>"16887"</f>
        <v>16887</v>
      </c>
      <c r="B1277" s="14" t="s">
        <v>1621</v>
      </c>
      <c r="C1277" s="13" t="str">
        <f>"15.2"</f>
        <v>15.2</v>
      </c>
      <c r="D1277" s="32">
        <f>(C1277*1.24778761061)+(0.4)</f>
        <v>19.366371681272</v>
      </c>
      <c r="E1277" s="33">
        <f>(C1277*1.16814159292)+(-1)</f>
        <v>16.755752212383999</v>
      </c>
      <c r="F1277" s="33">
        <f>(C1277*1.1238938053)+(-4.4)</f>
        <v>12.683185840559998</v>
      </c>
      <c r="G1277" s="33">
        <f>(C1277*1.06194690265)+(-5.9)</f>
        <v>10.241592920279997</v>
      </c>
      <c r="H1277" s="34">
        <f>(C1277*1.19469026548)+(0)</f>
        <v>18.159292035295998</v>
      </c>
      <c r="I1277" s="34">
        <f>(C1277*1.16814159292)+(-2)</f>
        <v>15.755752212383999</v>
      </c>
      <c r="J1277" s="34">
        <f>(C1277*1.1238938053)+(-3.9)</f>
        <v>13.183185840559998</v>
      </c>
      <c r="K1277" s="34">
        <f>(C1277*1.07964601769)+(-5.6)</f>
        <v>10.810619468888001</v>
      </c>
    </row>
    <row r="1278" spans="1:11" s="21" customFormat="1" ht="19.95" customHeight="1" x14ac:dyDescent="0.25">
      <c r="A1278" s="13" t="str">
        <f>"25898"</f>
        <v>25898</v>
      </c>
      <c r="B1278" s="14" t="s">
        <v>1622</v>
      </c>
      <c r="C1278" s="13" t="str">
        <f>"8.5"</f>
        <v>8.5</v>
      </c>
      <c r="D1278" s="32">
        <f>(C1278*1.24778761061)+(0.4)</f>
        <v>11.006194690185001</v>
      </c>
      <c r="E1278" s="33">
        <f>(C1278*1.16814159292)+(-1)</f>
        <v>8.9292035398200014</v>
      </c>
      <c r="F1278" s="33">
        <f>(C1278*1.1238938053)+(-4.4)</f>
        <v>5.1530973450499999</v>
      </c>
      <c r="G1278" s="33">
        <f>(C1278*1.06194690265)+(-5.9)</f>
        <v>3.1265486725249989</v>
      </c>
      <c r="H1278" s="34">
        <f>(C1278*1.19469026548)+(0)</f>
        <v>10.154867256579999</v>
      </c>
      <c r="I1278" s="34">
        <f>(C1278*1.16814159292)+(-2)</f>
        <v>7.9292035398200014</v>
      </c>
      <c r="J1278" s="34">
        <f>(C1278*1.1238938053)+(-3.9)</f>
        <v>5.6530973450499999</v>
      </c>
      <c r="K1278" s="34">
        <f>(C1278*1.07964601769)+(-5.6)</f>
        <v>3.576991150365</v>
      </c>
    </row>
    <row r="1279" spans="1:11" s="21" customFormat="1" ht="19.95" customHeight="1" x14ac:dyDescent="0.25">
      <c r="A1279" s="13" t="str">
        <f>"15083"</f>
        <v>15083</v>
      </c>
      <c r="B1279" s="14" t="s">
        <v>1623</v>
      </c>
      <c r="C1279" s="13" t="str">
        <f>"16.6"</f>
        <v>16.6</v>
      </c>
      <c r="D1279" s="32">
        <f>(C1279*1.24778761061)+(0.4)</f>
        <v>21.113274336126</v>
      </c>
      <c r="E1279" s="33">
        <f>(C1279*1.16814159292)+(-1)</f>
        <v>18.391150442472004</v>
      </c>
      <c r="F1279" s="33">
        <f>(C1279*1.1238938053)+(-4.4)</f>
        <v>14.256637167980001</v>
      </c>
      <c r="G1279" s="33">
        <f>(C1279*1.06194690265)+(-5.9)</f>
        <v>11.728318583990001</v>
      </c>
      <c r="H1279" s="34">
        <f>(C1279*1.19469026548)+(0)</f>
        <v>19.831858406968003</v>
      </c>
      <c r="I1279" s="34">
        <f>(C1279*1.16814159292)+(-2)</f>
        <v>17.391150442472004</v>
      </c>
      <c r="J1279" s="34">
        <f>(C1279*1.1238938053)+(-3.9)</f>
        <v>14.756637167980001</v>
      </c>
      <c r="K1279" s="34">
        <f>(C1279*1.07964601769)+(-5.6)</f>
        <v>12.322123893654004</v>
      </c>
    </row>
    <row r="1280" spans="1:11" s="21" customFormat="1" ht="19.95" customHeight="1" x14ac:dyDescent="0.25">
      <c r="A1280" s="13" t="str">
        <f>"16892"</f>
        <v>16892</v>
      </c>
      <c r="B1280" s="14" t="s">
        <v>1624</v>
      </c>
      <c r="C1280" s="13" t="str">
        <f>"18.0"</f>
        <v>18.0</v>
      </c>
      <c r="D1280" s="32">
        <f>(C1280*1.24778761061)+(0.4)</f>
        <v>22.860176990980001</v>
      </c>
      <c r="E1280" s="33">
        <f>(C1280*1.16814159292)+(-1)</f>
        <v>20.026548672560001</v>
      </c>
      <c r="F1280" s="33">
        <f>(C1280*1.1238938053)+(-4.4)</f>
        <v>15.8300884954</v>
      </c>
      <c r="G1280" s="33">
        <f>(C1280*1.06194690265)+(-5.9)</f>
        <v>13.215044247699998</v>
      </c>
      <c r="H1280" s="34">
        <f>(C1280*1.19469026548)+(0)</f>
        <v>21.504424778640001</v>
      </c>
      <c r="I1280" s="34">
        <f>(C1280*1.16814159292)+(-2)</f>
        <v>19.026548672560001</v>
      </c>
      <c r="J1280" s="34">
        <f>(C1280*1.1238938053)+(-3.9)</f>
        <v>16.330088495400002</v>
      </c>
      <c r="K1280" s="34">
        <f>(C1280*1.07964601769)+(-5.6)</f>
        <v>13.833628318419999</v>
      </c>
    </row>
    <row r="1281" spans="1:11" s="21" customFormat="1" ht="19.95" customHeight="1" x14ac:dyDescent="0.25">
      <c r="A1281" s="13" t="str">
        <f>"77540"</f>
        <v>77540</v>
      </c>
      <c r="B1281" s="14" t="s">
        <v>1625</v>
      </c>
      <c r="C1281" s="13" t="str">
        <f>"11.9"</f>
        <v>11.9</v>
      </c>
      <c r="D1281" s="32">
        <f>(C1281*1.24778761061)+(0.4)</f>
        <v>15.248672566259001</v>
      </c>
      <c r="E1281" s="33">
        <f>(C1281*1.16814159292)+(-1)</f>
        <v>12.900884955748001</v>
      </c>
      <c r="F1281" s="33">
        <f>(C1281*1.1238938053)+(-4.4)</f>
        <v>8.9743362830700004</v>
      </c>
      <c r="G1281" s="33">
        <f>(C1281*1.06194690265)+(-5.9)</f>
        <v>6.7371681415349993</v>
      </c>
      <c r="H1281" s="34">
        <f>(C1281*1.19469026548)+(0)</f>
        <v>14.216814159212001</v>
      </c>
      <c r="I1281" s="34">
        <f>(C1281*1.16814159292)+(-2)</f>
        <v>11.900884955748001</v>
      </c>
      <c r="J1281" s="34">
        <f>(C1281*1.1238938053)+(-3.9)</f>
        <v>9.4743362830700004</v>
      </c>
      <c r="K1281" s="34">
        <f>(C1281*1.07964601769)+(-5.6)</f>
        <v>7.2477876105110006</v>
      </c>
    </row>
    <row r="1282" spans="1:11" s="21" customFormat="1" ht="19.95" customHeight="1" x14ac:dyDescent="0.25">
      <c r="A1282" s="13" t="str">
        <f>"16893"</f>
        <v>16893</v>
      </c>
      <c r="B1282" s="14" t="s">
        <v>1626</v>
      </c>
      <c r="C1282" s="13" t="str">
        <f>"16.8"</f>
        <v>16.8</v>
      </c>
      <c r="D1282" s="32">
        <f>(C1282*1.24778761061)+(0.4)</f>
        <v>21.362831858248001</v>
      </c>
      <c r="E1282" s="33">
        <f>(C1282*1.16814159292)+(-1)</f>
        <v>18.624778761056003</v>
      </c>
      <c r="F1282" s="33">
        <f>(C1282*1.1238938053)+(-4.4)</f>
        <v>14.481415929040002</v>
      </c>
      <c r="G1282" s="33">
        <f>(C1282*1.06194690265)+(-5.9)</f>
        <v>11.94070796452</v>
      </c>
      <c r="H1282" s="34">
        <f>(C1282*1.19469026548)+(0)</f>
        <v>20.070796460064003</v>
      </c>
      <c r="I1282" s="34">
        <f>(C1282*1.16814159292)+(-2)</f>
        <v>17.624778761056003</v>
      </c>
      <c r="J1282" s="34">
        <f>(C1282*1.1238938053)+(-3.9)</f>
        <v>14.981415929040002</v>
      </c>
      <c r="K1282" s="34">
        <f>(C1282*1.07964601769)+(-5.6)</f>
        <v>12.538053097192</v>
      </c>
    </row>
    <row r="1283" spans="1:11" s="21" customFormat="1" ht="19.95" customHeight="1" x14ac:dyDescent="0.25">
      <c r="A1283" s="13" t="str">
        <f>"49048"</f>
        <v>49048</v>
      </c>
      <c r="B1283" s="14" t="s">
        <v>1627</v>
      </c>
      <c r="C1283" s="13" t="str">
        <f>"22.7"</f>
        <v>22.7</v>
      </c>
      <c r="D1283" s="32">
        <f>(C1283*1.24778761061)+(0.4)</f>
        <v>28.724778760846998</v>
      </c>
      <c r="E1283" s="33">
        <f>(C1283*1.16814159292)+(-1)</f>
        <v>25.516814159283999</v>
      </c>
      <c r="F1283" s="33">
        <f>(C1283*1.1238938053)+(-4.4)</f>
        <v>21.112389380309999</v>
      </c>
      <c r="G1283" s="33">
        <f>(C1283*1.06194690265)+(-5.9)</f>
        <v>18.206194690154994</v>
      </c>
      <c r="H1283" s="34">
        <f>(C1283*1.19469026548)+(0)</f>
        <v>27.119469026396001</v>
      </c>
      <c r="I1283" s="34">
        <f>(C1283*1.16814159292)+(-2)</f>
        <v>24.516814159283999</v>
      </c>
      <c r="J1283" s="34">
        <f>(C1283*1.1238938053)+(-3.9)</f>
        <v>21.612389380310002</v>
      </c>
      <c r="K1283" s="34">
        <f>(C1283*1.07964601769)+(-5.6)</f>
        <v>18.907964601563002</v>
      </c>
    </row>
    <row r="1284" spans="1:11" s="21" customFormat="1" ht="19.95" customHeight="1" x14ac:dyDescent="0.25">
      <c r="A1284" s="13" t="str">
        <f>"1013074"</f>
        <v>1013074</v>
      </c>
      <c r="B1284" s="14" t="s">
        <v>1628</v>
      </c>
      <c r="C1284" s="13" t="str">
        <f>"27.6"</f>
        <v>27.6</v>
      </c>
      <c r="D1284" s="32">
        <f>(C1284*1.24778761061)+(0.4)</f>
        <v>34.838938052836006</v>
      </c>
      <c r="E1284" s="33">
        <f>(C1284*1.16814159292)+(-1)</f>
        <v>31.240707964592005</v>
      </c>
      <c r="F1284" s="33">
        <f>(C1284*1.1238938053)+(-4.4)</f>
        <v>26.619469026280001</v>
      </c>
      <c r="G1284" s="33">
        <f>(C1284*1.06194690265)+(-5.9)</f>
        <v>23.409734513140002</v>
      </c>
      <c r="H1284" s="34">
        <f>(C1284*1.19469026548)+(0)</f>
        <v>32.973451327248</v>
      </c>
      <c r="I1284" s="34">
        <f>(C1284*1.16814159292)+(-2)</f>
        <v>30.240707964592005</v>
      </c>
      <c r="J1284" s="34">
        <f>(C1284*1.1238938053)+(-3.9)</f>
        <v>27.119469026280004</v>
      </c>
      <c r="K1284" s="34">
        <f>(C1284*1.07964601769)+(-5.6)</f>
        <v>24.198230088244003</v>
      </c>
    </row>
    <row r="1285" spans="1:11" s="21" customFormat="1" ht="19.95" customHeight="1" x14ac:dyDescent="0.25">
      <c r="A1285" s="13" t="str">
        <f>"1013413"</f>
        <v>1013413</v>
      </c>
      <c r="B1285" s="14" t="s">
        <v>1629</v>
      </c>
      <c r="C1285" s="13" t="str">
        <f>"12.4"</f>
        <v>12.4</v>
      </c>
      <c r="D1285" s="32">
        <f>(C1285*1.24778761061)+(0.4)</f>
        <v>15.872566371564002</v>
      </c>
      <c r="E1285" s="33">
        <f>(C1285*1.16814159292)+(-1)</f>
        <v>13.484955752208002</v>
      </c>
      <c r="F1285" s="33">
        <f>(C1285*1.1238938053)+(-4.4)</f>
        <v>9.5362831857200003</v>
      </c>
      <c r="G1285" s="33">
        <f>(C1285*1.06194690265)+(-5.9)</f>
        <v>7.2681415928599993</v>
      </c>
      <c r="H1285" s="34">
        <f>(C1285*1.19469026548)+(0)</f>
        <v>14.814159291952</v>
      </c>
      <c r="I1285" s="34">
        <f>(C1285*1.16814159292)+(-2)</f>
        <v>12.484955752208002</v>
      </c>
      <c r="J1285" s="34">
        <f>(C1285*1.1238938053)+(-3.9)</f>
        <v>10.03628318572</v>
      </c>
      <c r="K1285" s="34">
        <f>(C1285*1.07964601769)+(-5.6)</f>
        <v>7.7876106193560002</v>
      </c>
    </row>
    <row r="1286" spans="1:11" s="21" customFormat="1" ht="19.95" customHeight="1" x14ac:dyDescent="0.25">
      <c r="A1286" s="13" t="str">
        <f>"40359"</f>
        <v>40359</v>
      </c>
      <c r="B1286" s="14" t="s">
        <v>1630</v>
      </c>
      <c r="C1286" s="13" t="str">
        <f>"13.3"</f>
        <v>13.3</v>
      </c>
      <c r="D1286" s="32">
        <f>(C1286*1.24778761061)+(0.4)</f>
        <v>16.995575221113</v>
      </c>
      <c r="E1286" s="33">
        <f>(C1286*1.16814159292)+(-1)</f>
        <v>14.536283185836002</v>
      </c>
      <c r="F1286" s="33">
        <f>(C1286*1.1238938053)+(-4.4)</f>
        <v>10.547787610490001</v>
      </c>
      <c r="G1286" s="33">
        <f>(C1286*1.06194690265)+(-5.9)</f>
        <v>8.2238938052449999</v>
      </c>
      <c r="H1286" s="34">
        <f>(C1286*1.19469026548)+(0)</f>
        <v>15.889380530884001</v>
      </c>
      <c r="I1286" s="34">
        <f>(C1286*1.16814159292)+(-2)</f>
        <v>13.536283185836002</v>
      </c>
      <c r="J1286" s="34">
        <f>(C1286*1.1238938053)+(-3.9)</f>
        <v>11.047787610490001</v>
      </c>
      <c r="K1286" s="34">
        <f>(C1286*1.07964601769)+(-5.6)</f>
        <v>8.7592920352770012</v>
      </c>
    </row>
    <row r="1287" spans="1:11" s="21" customFormat="1" ht="19.95" customHeight="1" x14ac:dyDescent="0.25">
      <c r="A1287" s="13" t="str">
        <f>"51028"</f>
        <v>51028</v>
      </c>
      <c r="B1287" s="14" t="s">
        <v>1631</v>
      </c>
      <c r="C1287" s="13" t="str">
        <f>"6.6"</f>
        <v>6.6</v>
      </c>
      <c r="D1287" s="32">
        <f>(C1287*1.24778761061)+(0.4)</f>
        <v>8.6353982300260004</v>
      </c>
      <c r="E1287" s="33">
        <f>(C1287*1.16814159292)+(-1)</f>
        <v>6.7097345132720001</v>
      </c>
      <c r="F1287" s="33">
        <f>(C1287*1.1238938053)+(-4.4)</f>
        <v>3.0176991149799992</v>
      </c>
      <c r="G1287" s="33">
        <f>(C1287*1.06194690265)+(-5.9)</f>
        <v>1.1088495574899984</v>
      </c>
      <c r="H1287" s="34">
        <f>(C1287*1.19469026548)+(0)</f>
        <v>7.8849557521679996</v>
      </c>
      <c r="I1287" s="34">
        <f>(C1287*1.16814159292)+(-2)</f>
        <v>5.7097345132720001</v>
      </c>
      <c r="J1287" s="34">
        <f>(C1287*1.1238938053)+(-3.9)</f>
        <v>3.5176991149799997</v>
      </c>
      <c r="K1287" s="34">
        <f>(C1287*1.07964601769)+(-5.6)</f>
        <v>1.5256637167539999</v>
      </c>
    </row>
    <row r="1288" spans="1:11" s="21" customFormat="1" ht="19.95" customHeight="1" x14ac:dyDescent="0.25">
      <c r="A1288" s="13" t="str">
        <f>"1013896"</f>
        <v>1013896</v>
      </c>
      <c r="B1288" s="14" t="s">
        <v>1632</v>
      </c>
      <c r="C1288" s="13" t="str">
        <f>"27.4"</f>
        <v>27.4</v>
      </c>
      <c r="D1288" s="32">
        <f>(C1288*1.24778761061)+(0.4)</f>
        <v>34.589380530714003</v>
      </c>
      <c r="E1288" s="33">
        <f>(C1288*1.16814159292)+(-1)</f>
        <v>31.007079646008002</v>
      </c>
      <c r="F1288" s="33">
        <f>(C1288*1.1238938053)+(-4.4)</f>
        <v>26.39469026522</v>
      </c>
      <c r="G1288" s="33">
        <f>(C1288*1.06194690265)+(-5.9)</f>
        <v>23.197345132609996</v>
      </c>
      <c r="H1288" s="34">
        <f>(C1288*1.19469026548)+(0)</f>
        <v>32.734513274152</v>
      </c>
      <c r="I1288" s="34">
        <f>(C1288*1.16814159292)+(-2)</f>
        <v>30.007079646008002</v>
      </c>
      <c r="J1288" s="34">
        <f>(C1288*1.1238938053)+(-3.9)</f>
        <v>26.89469026522</v>
      </c>
      <c r="K1288" s="34">
        <f>(C1288*1.07964601769)+(-5.6)</f>
        <v>23.982300884706</v>
      </c>
    </row>
    <row r="1289" spans="1:11" s="21" customFormat="1" ht="19.95" customHeight="1" x14ac:dyDescent="0.25">
      <c r="A1289" s="13" t="str">
        <f>"1000981"</f>
        <v>1000981</v>
      </c>
      <c r="B1289" s="14" t="s">
        <v>1633</v>
      </c>
      <c r="C1289" s="13" t="s">
        <v>76</v>
      </c>
      <c r="D1289" s="32" t="s">
        <v>77</v>
      </c>
      <c r="E1289" s="33" t="s">
        <v>77</v>
      </c>
      <c r="F1289" s="33" t="s">
        <v>77</v>
      </c>
      <c r="G1289" s="33" t="s">
        <v>77</v>
      </c>
      <c r="H1289" s="34" t="s">
        <v>77</v>
      </c>
      <c r="I1289" s="34" t="s">
        <v>77</v>
      </c>
      <c r="J1289" s="34" t="s">
        <v>77</v>
      </c>
      <c r="K1289" s="34" t="s">
        <v>77</v>
      </c>
    </row>
    <row r="1290" spans="1:11" s="21" customFormat="1" ht="19.95" customHeight="1" x14ac:dyDescent="0.25">
      <c r="A1290" s="13" t="str">
        <f>"3771"</f>
        <v>3771</v>
      </c>
      <c r="B1290" s="14" t="s">
        <v>1634</v>
      </c>
      <c r="C1290" s="13" t="str">
        <f>"11.4"</f>
        <v>11.4</v>
      </c>
      <c r="D1290" s="32">
        <f>(C1290*1.24778761061)+(0.4)</f>
        <v>14.624778760954001</v>
      </c>
      <c r="E1290" s="33">
        <f>(C1290*1.16814159292)+(-1)</f>
        <v>12.316814159288</v>
      </c>
      <c r="F1290" s="33">
        <f>(C1290*1.1238938053)+(-4.4)</f>
        <v>8.4123893804200005</v>
      </c>
      <c r="G1290" s="33">
        <f>(C1290*1.06194690265)+(-5.9)</f>
        <v>6.2061946902099994</v>
      </c>
      <c r="H1290" s="34">
        <f>(C1290*1.19469026548)+(0)</f>
        <v>13.619469026472</v>
      </c>
      <c r="I1290" s="34">
        <f>(C1290*1.16814159292)+(-2)</f>
        <v>11.316814159288</v>
      </c>
      <c r="J1290" s="34">
        <f>(C1290*1.1238938053)+(-3.9)</f>
        <v>8.9123893804200005</v>
      </c>
      <c r="K1290" s="34">
        <f>(C1290*1.07964601769)+(-5.6)</f>
        <v>6.7079646016660011</v>
      </c>
    </row>
    <row r="1291" spans="1:11" s="21" customFormat="1" ht="19.95" customHeight="1" x14ac:dyDescent="0.25">
      <c r="A1291" s="13" t="str">
        <f>"20343"</f>
        <v>20343</v>
      </c>
      <c r="B1291" s="14" t="s">
        <v>1635</v>
      </c>
      <c r="C1291" s="13" t="str">
        <f>"14.7"</f>
        <v>14.7</v>
      </c>
      <c r="D1291" s="32">
        <f>(C1291*1.24778761061)+(0.4)</f>
        <v>18.742477875966998</v>
      </c>
      <c r="E1291" s="33">
        <f>(C1291*1.16814159292)+(-1)</f>
        <v>16.171681415923999</v>
      </c>
      <c r="F1291" s="33">
        <f>(C1291*1.1238938053)+(-4.4)</f>
        <v>12.121238937909999</v>
      </c>
      <c r="G1291" s="33">
        <f>(C1291*1.06194690265)+(-5.9)</f>
        <v>9.7106194689549969</v>
      </c>
      <c r="H1291" s="34">
        <f>(C1291*1.19469026548)+(0)</f>
        <v>17.561946902555999</v>
      </c>
      <c r="I1291" s="34">
        <f>(C1291*1.16814159292)+(-2)</f>
        <v>15.171681415923999</v>
      </c>
      <c r="J1291" s="34">
        <f>(C1291*1.1238938053)+(-3.9)</f>
        <v>12.621238937909999</v>
      </c>
      <c r="K1291" s="34">
        <f>(C1291*1.07964601769)+(-5.6)</f>
        <v>10.270796460043</v>
      </c>
    </row>
    <row r="1292" spans="1:11" s="21" customFormat="1" ht="19.95" customHeight="1" x14ac:dyDescent="0.25">
      <c r="A1292" s="13" t="str">
        <f>"16898"</f>
        <v>16898</v>
      </c>
      <c r="B1292" s="14" t="s">
        <v>1636</v>
      </c>
      <c r="C1292" s="13" t="str">
        <f>"21.8"</f>
        <v>21.8</v>
      </c>
      <c r="D1292" s="32">
        <f>(C1292*1.24778761061)+(0.4)</f>
        <v>27.601769911298003</v>
      </c>
      <c r="E1292" s="33">
        <f>(C1292*1.16814159292)+(-1)</f>
        <v>24.465486725656003</v>
      </c>
      <c r="F1292" s="33">
        <f>(C1292*1.1238938053)+(-4.4)</f>
        <v>20.100884955540003</v>
      </c>
      <c r="G1292" s="33">
        <f>(C1292*1.06194690265)+(-5.9)</f>
        <v>17.250442477770001</v>
      </c>
      <c r="H1292" s="34">
        <f>(C1292*1.19469026548)+(0)</f>
        <v>26.044247787464002</v>
      </c>
      <c r="I1292" s="34">
        <f>(C1292*1.16814159292)+(-2)</f>
        <v>23.465486725656003</v>
      </c>
      <c r="J1292" s="34">
        <f>(C1292*1.1238938053)+(-3.9)</f>
        <v>20.600884955540003</v>
      </c>
      <c r="K1292" s="34">
        <f>(C1292*1.07964601769)+(-5.6)</f>
        <v>17.936283185642004</v>
      </c>
    </row>
    <row r="1293" spans="1:11" s="21" customFormat="1" ht="19.95" customHeight="1" x14ac:dyDescent="0.25">
      <c r="A1293" s="13" t="str">
        <f>"16899"</f>
        <v>16899</v>
      </c>
      <c r="B1293" s="14" t="s">
        <v>1637</v>
      </c>
      <c r="C1293" s="13" t="str">
        <f>"13.4"</f>
        <v>13.4</v>
      </c>
      <c r="D1293" s="32">
        <f>(C1293*1.24778761061)+(0.4)</f>
        <v>17.120353982173999</v>
      </c>
      <c r="E1293" s="33">
        <f>(C1293*1.16814159292)+(-1)</f>
        <v>14.653097345128002</v>
      </c>
      <c r="F1293" s="33">
        <f>(C1293*1.1238938053)+(-4.4)</f>
        <v>10.66017699102</v>
      </c>
      <c r="G1293" s="33">
        <f>(C1293*1.06194690265)+(-5.9)</f>
        <v>8.3300884955099992</v>
      </c>
      <c r="H1293" s="34">
        <f>(C1293*1.19469026548)+(0)</f>
        <v>16.008849557432001</v>
      </c>
      <c r="I1293" s="34">
        <f>(C1293*1.16814159292)+(-2)</f>
        <v>13.653097345128002</v>
      </c>
      <c r="J1293" s="34">
        <f>(C1293*1.1238938053)+(-3.9)</f>
        <v>11.16017699102</v>
      </c>
      <c r="K1293" s="34">
        <f>(C1293*1.07964601769)+(-5.6)</f>
        <v>8.8672566370460011</v>
      </c>
    </row>
    <row r="1294" spans="1:11" s="21" customFormat="1" ht="19.95" customHeight="1" x14ac:dyDescent="0.25">
      <c r="A1294" s="13" t="str">
        <f>"16900"</f>
        <v>16900</v>
      </c>
      <c r="B1294" s="14" t="s">
        <v>1638</v>
      </c>
      <c r="C1294" s="13" t="str">
        <f>"7.7"</f>
        <v>7.7</v>
      </c>
      <c r="D1294" s="32">
        <f>(C1294*1.24778761061)+(0.4)</f>
        <v>10.007964601697001</v>
      </c>
      <c r="E1294" s="33">
        <f>(C1294*1.16814159292)+(-1)</f>
        <v>7.9946902654840013</v>
      </c>
      <c r="F1294" s="33">
        <f>(C1294*1.1238938053)+(-4.4)</f>
        <v>4.2539823008099997</v>
      </c>
      <c r="G1294" s="33">
        <f>(C1294*1.06194690265)+(-5.9)</f>
        <v>2.2769911504049993</v>
      </c>
      <c r="H1294" s="34">
        <f>(C1294*1.19469026548)+(0)</f>
        <v>9.1991150441960006</v>
      </c>
      <c r="I1294" s="34">
        <f>(C1294*1.16814159292)+(-2)</f>
        <v>6.9946902654840013</v>
      </c>
      <c r="J1294" s="34">
        <f>(C1294*1.1238938053)+(-3.9)</f>
        <v>4.7539823008099997</v>
      </c>
      <c r="K1294" s="34">
        <f>(C1294*1.07964601769)+(-5.6)</f>
        <v>2.7132743362130007</v>
      </c>
    </row>
    <row r="1295" spans="1:11" s="21" customFormat="1" ht="19.95" customHeight="1" x14ac:dyDescent="0.25">
      <c r="A1295" s="13" t="str">
        <f>"66902"</f>
        <v>66902</v>
      </c>
      <c r="B1295" s="14" t="s">
        <v>1639</v>
      </c>
      <c r="C1295" s="13" t="str">
        <f>"16.8"</f>
        <v>16.8</v>
      </c>
      <c r="D1295" s="32">
        <f>(C1295*1.24778761061)+(0.4)</f>
        <v>21.362831858248001</v>
      </c>
      <c r="E1295" s="33">
        <f>(C1295*1.16814159292)+(-1)</f>
        <v>18.624778761056003</v>
      </c>
      <c r="F1295" s="33">
        <f>(C1295*1.1238938053)+(-4.4)</f>
        <v>14.481415929040002</v>
      </c>
      <c r="G1295" s="33">
        <f>(C1295*1.06194690265)+(-5.9)</f>
        <v>11.94070796452</v>
      </c>
      <c r="H1295" s="34">
        <f>(C1295*1.19469026548)+(0)</f>
        <v>20.070796460064003</v>
      </c>
      <c r="I1295" s="34">
        <f>(C1295*1.16814159292)+(-2)</f>
        <v>17.624778761056003</v>
      </c>
      <c r="J1295" s="34">
        <f>(C1295*1.1238938053)+(-3.9)</f>
        <v>14.981415929040002</v>
      </c>
      <c r="K1295" s="34">
        <f>(C1295*1.07964601769)+(-5.6)</f>
        <v>12.538053097192</v>
      </c>
    </row>
    <row r="1296" spans="1:11" s="21" customFormat="1" ht="19.95" customHeight="1" x14ac:dyDescent="0.25">
      <c r="A1296" s="13" t="str">
        <f>"80050"</f>
        <v>80050</v>
      </c>
      <c r="B1296" s="14" t="s">
        <v>1640</v>
      </c>
      <c r="C1296" s="13" t="str">
        <f>"23.4"</f>
        <v>23.4</v>
      </c>
      <c r="D1296" s="32">
        <f>(C1296*1.24778761061)+(0.4)</f>
        <v>29.598230088274001</v>
      </c>
      <c r="E1296" s="33">
        <f>(C1296*1.16814159292)+(-1)</f>
        <v>26.334513274328</v>
      </c>
      <c r="F1296" s="33">
        <f>(C1296*1.1238938053)+(-4.4)</f>
        <v>21.89911504402</v>
      </c>
      <c r="G1296" s="33">
        <f>(C1296*1.06194690265)+(-5.9)</f>
        <v>18.949557522009997</v>
      </c>
      <c r="H1296" s="34">
        <f>(C1296*1.19469026548)+(0)</f>
        <v>27.955752212231999</v>
      </c>
      <c r="I1296" s="34">
        <f>(C1296*1.16814159292)+(-2)</f>
        <v>25.334513274328</v>
      </c>
      <c r="J1296" s="34">
        <f>(C1296*1.1238938053)+(-3.9)</f>
        <v>22.39911504402</v>
      </c>
      <c r="K1296" s="34">
        <f>(C1296*1.07964601769)+(-5.6)</f>
        <v>19.663716813945996</v>
      </c>
    </row>
    <row r="1297" spans="1:11" s="21" customFormat="1" ht="19.95" customHeight="1" x14ac:dyDescent="0.25">
      <c r="A1297" s="13" t="str">
        <f>"1013041"</f>
        <v>1013041</v>
      </c>
      <c r="B1297" s="14" t="s">
        <v>1641</v>
      </c>
      <c r="C1297" s="13" t="str">
        <f>"10.1"</f>
        <v>10.1</v>
      </c>
      <c r="D1297" s="32">
        <f>(C1297*1.24778761061)+(0.4)</f>
        <v>13.002654867161</v>
      </c>
      <c r="E1297" s="33">
        <f>(C1297*1.16814159292)+(-1)</f>
        <v>10.798230088492</v>
      </c>
      <c r="F1297" s="33">
        <f>(C1297*1.1238938053)+(-4.4)</f>
        <v>6.9513274335300004</v>
      </c>
      <c r="G1297" s="33">
        <f>(C1297*1.06194690265)+(-5.9)</f>
        <v>4.8256637167649981</v>
      </c>
      <c r="H1297" s="34">
        <f>(C1297*1.19469026548)+(0)</f>
        <v>12.066371681348</v>
      </c>
      <c r="I1297" s="34">
        <f>(C1297*1.16814159292)+(-2)</f>
        <v>9.7982300884919997</v>
      </c>
      <c r="J1297" s="34">
        <f>(C1297*1.1238938053)+(-3.9)</f>
        <v>7.4513274335300004</v>
      </c>
      <c r="K1297" s="34">
        <f>(C1297*1.07964601769)+(-5.6)</f>
        <v>5.3044247786690004</v>
      </c>
    </row>
    <row r="1298" spans="1:11" s="21" customFormat="1" ht="19.95" customHeight="1" x14ac:dyDescent="0.25">
      <c r="A1298" s="13" t="str">
        <f>"66754"</f>
        <v>66754</v>
      </c>
      <c r="B1298" s="14" t="s">
        <v>1642</v>
      </c>
      <c r="C1298" s="13" t="str">
        <f>"12.3"</f>
        <v>12.3</v>
      </c>
      <c r="D1298" s="32">
        <f>(C1298*1.24778761061)+(0.4)</f>
        <v>15.747787610503002</v>
      </c>
      <c r="E1298" s="33">
        <f>(C1298*1.16814159292)+(-1)</f>
        <v>13.368141592916002</v>
      </c>
      <c r="F1298" s="33">
        <f>(C1298*1.1238938053)+(-4.4)</f>
        <v>9.4238938051900014</v>
      </c>
      <c r="G1298" s="33">
        <f>(C1298*1.06194690265)+(-5.9)</f>
        <v>7.161946902595</v>
      </c>
      <c r="H1298" s="34">
        <f>(C1298*1.19469026548)+(0)</f>
        <v>14.694690265404001</v>
      </c>
      <c r="I1298" s="34">
        <f>(C1298*1.16814159292)+(-2)</f>
        <v>12.368141592916002</v>
      </c>
      <c r="J1298" s="34">
        <f>(C1298*1.1238938053)+(-3.9)</f>
        <v>9.9238938051900014</v>
      </c>
      <c r="K1298" s="34">
        <f>(C1298*1.07964601769)+(-5.6)</f>
        <v>7.679646017587002</v>
      </c>
    </row>
    <row r="1299" spans="1:11" s="21" customFormat="1" ht="19.95" customHeight="1" x14ac:dyDescent="0.25">
      <c r="A1299" s="13" t="str">
        <f>"16905"</f>
        <v>16905</v>
      </c>
      <c r="B1299" s="14" t="s">
        <v>1643</v>
      </c>
      <c r="C1299" s="13" t="str">
        <f>"16.8"</f>
        <v>16.8</v>
      </c>
      <c r="D1299" s="32">
        <f>(C1299*1.24778761061)+(0.4)</f>
        <v>21.362831858248001</v>
      </c>
      <c r="E1299" s="33">
        <f>(C1299*1.16814159292)+(-1)</f>
        <v>18.624778761056003</v>
      </c>
      <c r="F1299" s="33">
        <f>(C1299*1.1238938053)+(-4.4)</f>
        <v>14.481415929040002</v>
      </c>
      <c r="G1299" s="33">
        <f>(C1299*1.06194690265)+(-5.9)</f>
        <v>11.94070796452</v>
      </c>
      <c r="H1299" s="34">
        <f>(C1299*1.19469026548)+(0)</f>
        <v>20.070796460064003</v>
      </c>
      <c r="I1299" s="34">
        <f>(C1299*1.16814159292)+(-2)</f>
        <v>17.624778761056003</v>
      </c>
      <c r="J1299" s="34">
        <f>(C1299*1.1238938053)+(-3.9)</f>
        <v>14.981415929040002</v>
      </c>
      <c r="K1299" s="34">
        <f>(C1299*1.07964601769)+(-5.6)</f>
        <v>12.538053097192</v>
      </c>
    </row>
    <row r="1300" spans="1:11" s="21" customFormat="1" ht="19.95" customHeight="1" x14ac:dyDescent="0.25">
      <c r="A1300" s="13" t="str">
        <f>"1001052"</f>
        <v>1001052</v>
      </c>
      <c r="B1300" s="14" t="s">
        <v>1644</v>
      </c>
      <c r="C1300" s="13" t="str">
        <f>"21.1"</f>
        <v>21.1</v>
      </c>
      <c r="D1300" s="32">
        <f>(C1300*1.24778761061)+(0.4)</f>
        <v>26.728318583871001</v>
      </c>
      <c r="E1300" s="33">
        <f>(C1300*1.16814159292)+(-1)</f>
        <v>23.647787610612003</v>
      </c>
      <c r="F1300" s="33">
        <f>(C1300*1.1238938053)+(-4.4)</f>
        <v>19.314159291830002</v>
      </c>
      <c r="G1300" s="33">
        <f>(C1300*1.06194690265)+(-5.9)</f>
        <v>16.507079645914999</v>
      </c>
      <c r="H1300" s="34">
        <f>(C1300*1.19469026548)+(0)</f>
        <v>25.207964601628003</v>
      </c>
      <c r="I1300" s="34">
        <f>(C1300*1.16814159292)+(-2)</f>
        <v>22.647787610612003</v>
      </c>
      <c r="J1300" s="34">
        <f>(C1300*1.1238938053)+(-3.9)</f>
        <v>19.814159291830006</v>
      </c>
      <c r="K1300" s="34">
        <f>(C1300*1.07964601769)+(-5.6)</f>
        <v>17.180530973259003</v>
      </c>
    </row>
    <row r="1301" spans="1:11" s="21" customFormat="1" ht="19.95" customHeight="1" x14ac:dyDescent="0.25">
      <c r="A1301" s="13" t="str">
        <f>"69761"</f>
        <v>69761</v>
      </c>
      <c r="B1301" s="14" t="s">
        <v>1645</v>
      </c>
      <c r="C1301" s="13" t="str">
        <f>"25.6"</f>
        <v>25.6</v>
      </c>
      <c r="D1301" s="32">
        <f>(C1301*1.24778761061)+(0.4)</f>
        <v>32.343362831616005</v>
      </c>
      <c r="E1301" s="33">
        <f>(C1301*1.16814159292)+(-1)</f>
        <v>28.904424778752002</v>
      </c>
      <c r="F1301" s="33">
        <f>(C1301*1.1238938053)+(-4.4)</f>
        <v>24.371681415680001</v>
      </c>
      <c r="G1301" s="33">
        <f>(C1301*1.06194690265)+(-5.9)</f>
        <v>21.285840707840002</v>
      </c>
      <c r="H1301" s="34">
        <f>(C1301*1.19469026548)+(0)</f>
        <v>30.584070796288003</v>
      </c>
      <c r="I1301" s="34">
        <f>(C1301*1.16814159292)+(-2)</f>
        <v>27.904424778752002</v>
      </c>
      <c r="J1301" s="34">
        <f>(C1301*1.1238938053)+(-3.9)</f>
        <v>24.871681415680005</v>
      </c>
      <c r="K1301" s="34">
        <f>(C1301*1.07964601769)+(-5.6)</f>
        <v>22.038938052864005</v>
      </c>
    </row>
    <row r="1302" spans="1:11" s="21" customFormat="1" ht="19.95" customHeight="1" x14ac:dyDescent="0.25">
      <c r="A1302" s="13" t="str">
        <f>"74430"</f>
        <v>74430</v>
      </c>
      <c r="B1302" s="14" t="s">
        <v>1646</v>
      </c>
      <c r="C1302" s="13" t="str">
        <f>"19.8"</f>
        <v>19.8</v>
      </c>
      <c r="D1302" s="32">
        <f>(C1302*1.24778761061)+(0.4)</f>
        <v>25.106194690078002</v>
      </c>
      <c r="E1302" s="33">
        <f>(C1302*1.16814159292)+(-1)</f>
        <v>22.129203539816004</v>
      </c>
      <c r="F1302" s="33">
        <f>(C1302*1.1238938053)+(-4.4)</f>
        <v>17.853097344940004</v>
      </c>
      <c r="G1302" s="33">
        <f>(C1302*1.06194690265)+(-5.9)</f>
        <v>15.126548672469999</v>
      </c>
      <c r="H1302" s="34">
        <f>(C1302*1.19469026548)+(0)</f>
        <v>23.654867256504001</v>
      </c>
      <c r="I1302" s="34">
        <f>(C1302*1.16814159292)+(-2)</f>
        <v>21.129203539816004</v>
      </c>
      <c r="J1302" s="34">
        <f>(C1302*1.1238938053)+(-3.9)</f>
        <v>18.353097344940004</v>
      </c>
      <c r="K1302" s="34">
        <f>(C1302*1.07964601769)+(-5.6)</f>
        <v>15.776991150262001</v>
      </c>
    </row>
    <row r="1303" spans="1:11" s="21" customFormat="1" ht="19.95" customHeight="1" x14ac:dyDescent="0.25">
      <c r="A1303" s="13" t="str">
        <f>"50552"</f>
        <v>50552</v>
      </c>
      <c r="B1303" s="14" t="s">
        <v>1647</v>
      </c>
      <c r="C1303" s="13" t="str">
        <f>"27.9"</f>
        <v>27.9</v>
      </c>
      <c r="D1303" s="32">
        <f>(C1303*1.24778761061)+(0.4)</f>
        <v>35.213274336018998</v>
      </c>
      <c r="E1303" s="33">
        <f>(C1303*1.16814159292)+(-1)</f>
        <v>31.591150442467999</v>
      </c>
      <c r="F1303" s="33">
        <f>(C1303*1.1238938053)+(-4.4)</f>
        <v>26.956637167869999</v>
      </c>
      <c r="G1303" s="33">
        <f>(C1303*1.06194690265)+(-5.9)</f>
        <v>23.728318583934993</v>
      </c>
      <c r="H1303" s="34">
        <f>(C1303*1.19469026548)+(0)</f>
        <v>33.331858406891996</v>
      </c>
      <c r="I1303" s="34">
        <f>(C1303*1.16814159292)+(-2)</f>
        <v>30.591150442467999</v>
      </c>
      <c r="J1303" s="34">
        <f>(C1303*1.1238938053)+(-3.9)</f>
        <v>27.456637167869999</v>
      </c>
      <c r="K1303" s="34">
        <f>(C1303*1.07964601769)+(-5.6)</f>
        <v>24.522123893550997</v>
      </c>
    </row>
    <row r="1304" spans="1:11" s="21" customFormat="1" ht="19.95" customHeight="1" x14ac:dyDescent="0.25">
      <c r="A1304" s="13" t="str">
        <f>"16910"</f>
        <v>16910</v>
      </c>
      <c r="B1304" s="14" t="s">
        <v>1648</v>
      </c>
      <c r="C1304" s="13" t="str">
        <f>"23.1"</f>
        <v>23.1</v>
      </c>
      <c r="D1304" s="32">
        <f>(C1304*1.24778761061)+(0.4)</f>
        <v>29.223893805091002</v>
      </c>
      <c r="E1304" s="33">
        <f>(C1304*1.16814159292)+(-1)</f>
        <v>25.984070796452002</v>
      </c>
      <c r="F1304" s="33">
        <f>(C1304*1.1238938053)+(-4.4)</f>
        <v>21.561946902430002</v>
      </c>
      <c r="G1304" s="33">
        <f>(C1304*1.06194690265)+(-5.9)</f>
        <v>18.630973451214999</v>
      </c>
      <c r="H1304" s="34">
        <f>(C1304*1.19469026548)+(0)</f>
        <v>27.597345132588003</v>
      </c>
      <c r="I1304" s="34">
        <f>(C1304*1.16814159292)+(-2)</f>
        <v>24.984070796452002</v>
      </c>
      <c r="J1304" s="34">
        <f>(C1304*1.1238938053)+(-3.9)</f>
        <v>22.061946902430005</v>
      </c>
      <c r="K1304" s="34">
        <f>(C1304*1.07964601769)+(-5.6)</f>
        <v>19.339823008639002</v>
      </c>
    </row>
    <row r="1305" spans="1:11" s="21" customFormat="1" ht="19.95" customHeight="1" x14ac:dyDescent="0.25">
      <c r="A1305" s="13" t="str">
        <f>"16914"</f>
        <v>16914</v>
      </c>
      <c r="B1305" s="14" t="s">
        <v>1649</v>
      </c>
      <c r="C1305" s="13" t="str">
        <f>"22.7"</f>
        <v>22.7</v>
      </c>
      <c r="D1305" s="32">
        <f>(C1305*1.24778761061)+(0.4)</f>
        <v>28.724778760846998</v>
      </c>
      <c r="E1305" s="33">
        <f>(C1305*1.16814159292)+(-1)</f>
        <v>25.516814159283999</v>
      </c>
      <c r="F1305" s="33">
        <f>(C1305*1.1238938053)+(-4.4)</f>
        <v>21.112389380309999</v>
      </c>
      <c r="G1305" s="33">
        <f>(C1305*1.06194690265)+(-5.9)</f>
        <v>18.206194690154994</v>
      </c>
      <c r="H1305" s="34">
        <f>(C1305*1.19469026548)+(0)</f>
        <v>27.119469026396001</v>
      </c>
      <c r="I1305" s="34">
        <f>(C1305*1.16814159292)+(-2)</f>
        <v>24.516814159283999</v>
      </c>
      <c r="J1305" s="34">
        <f>(C1305*1.1238938053)+(-3.9)</f>
        <v>21.612389380310002</v>
      </c>
      <c r="K1305" s="34">
        <f>(C1305*1.07964601769)+(-5.6)</f>
        <v>18.907964601563002</v>
      </c>
    </row>
    <row r="1306" spans="1:11" s="21" customFormat="1" ht="19.95" customHeight="1" x14ac:dyDescent="0.25">
      <c r="A1306" s="13" t="str">
        <f>"47642"</f>
        <v>47642</v>
      </c>
      <c r="B1306" s="14" t="s">
        <v>1650</v>
      </c>
      <c r="C1306" s="13" t="str">
        <f>"30.9"</f>
        <v>30.9</v>
      </c>
      <c r="D1306" s="32">
        <f>(C1306*1.24778761061)+(0.4)</f>
        <v>38.956637167849003</v>
      </c>
      <c r="E1306" s="33">
        <f>(C1306*1.16814159292)+(-1)</f>
        <v>35.095575221228003</v>
      </c>
      <c r="F1306" s="33">
        <f>(C1306*1.1238938053)+(-4.4)</f>
        <v>30.328318583769999</v>
      </c>
      <c r="G1306" s="33">
        <f>(C1306*1.06194690265)+(-5.9)</f>
        <v>26.914159291884999</v>
      </c>
      <c r="H1306" s="34">
        <f>(C1306*1.19469026548)+(0)</f>
        <v>36.915929203331999</v>
      </c>
      <c r="I1306" s="34">
        <f>(C1306*1.16814159292)+(-2)</f>
        <v>34.095575221228003</v>
      </c>
      <c r="J1306" s="34">
        <f>(C1306*1.1238938053)+(-3.9)</f>
        <v>30.828318583769999</v>
      </c>
      <c r="K1306" s="34">
        <f>(C1306*1.07964601769)+(-5.6)</f>
        <v>27.761061946620998</v>
      </c>
    </row>
    <row r="1307" spans="1:11" s="21" customFormat="1" ht="19.95" customHeight="1" x14ac:dyDescent="0.25">
      <c r="A1307" s="13" t="str">
        <f>"16915"</f>
        <v>16915</v>
      </c>
      <c r="B1307" s="14" t="s">
        <v>1651</v>
      </c>
      <c r="C1307" s="13" t="str">
        <f>"28.8"</f>
        <v>28.8</v>
      </c>
      <c r="D1307" s="32">
        <f>(C1307*1.24778761061)+(0.4)</f>
        <v>36.336283185568</v>
      </c>
      <c r="E1307" s="33">
        <f>(C1307*1.16814159292)+(-1)</f>
        <v>32.642477876096002</v>
      </c>
      <c r="F1307" s="33">
        <f>(C1307*1.1238938053)+(-4.4)</f>
        <v>27.968141592640002</v>
      </c>
      <c r="G1307" s="33">
        <f>(C1307*1.06194690265)+(-5.9)</f>
        <v>24.68407079632</v>
      </c>
      <c r="H1307" s="34">
        <f>(C1307*1.19469026548)+(0)</f>
        <v>34.407079645823998</v>
      </c>
      <c r="I1307" s="34">
        <f>(C1307*1.16814159292)+(-2)</f>
        <v>31.642477876096002</v>
      </c>
      <c r="J1307" s="34">
        <f>(C1307*1.1238938053)+(-3.9)</f>
        <v>28.468141592640002</v>
      </c>
      <c r="K1307" s="34">
        <f>(C1307*1.07964601769)+(-5.6)</f>
        <v>25.493805309472002</v>
      </c>
    </row>
    <row r="1308" spans="1:11" s="21" customFormat="1" ht="19.95" customHeight="1" x14ac:dyDescent="0.25">
      <c r="A1308" s="13" t="str">
        <f>"1000536"</f>
        <v>1000536</v>
      </c>
      <c r="B1308" s="14" t="s">
        <v>1652</v>
      </c>
      <c r="C1308" s="13" t="str">
        <f>"22.8"</f>
        <v>22.8</v>
      </c>
      <c r="D1308" s="32">
        <f>(C1308*1.24778761061)+(0.4)</f>
        <v>28.849557521908</v>
      </c>
      <c r="E1308" s="33">
        <f>(C1308*1.16814159292)+(-1)</f>
        <v>25.633628318576001</v>
      </c>
      <c r="F1308" s="33">
        <f>(C1308*1.1238938053)+(-4.4)</f>
        <v>21.224778760840003</v>
      </c>
      <c r="G1308" s="33">
        <f>(C1308*1.06194690265)+(-5.9)</f>
        <v>18.312389380420001</v>
      </c>
      <c r="H1308" s="34">
        <f>(C1308*1.19469026548)+(0)</f>
        <v>27.238938052944</v>
      </c>
      <c r="I1308" s="34">
        <f>(C1308*1.16814159292)+(-2)</f>
        <v>24.633628318576001</v>
      </c>
      <c r="J1308" s="34">
        <f>(C1308*1.1238938053)+(-3.9)</f>
        <v>21.724778760840003</v>
      </c>
      <c r="K1308" s="34">
        <f>(C1308*1.07964601769)+(-5.6)</f>
        <v>19.015929203332</v>
      </c>
    </row>
    <row r="1309" spans="1:11" s="21" customFormat="1" ht="19.95" customHeight="1" x14ac:dyDescent="0.25">
      <c r="A1309" s="13" t="str">
        <f>"16916"</f>
        <v>16916</v>
      </c>
      <c r="B1309" s="14" t="s">
        <v>1653</v>
      </c>
      <c r="C1309" s="13" t="str">
        <f>"16.5"</f>
        <v>16.5</v>
      </c>
      <c r="D1309" s="32">
        <f>(C1309*1.24778761061)+(0.4)</f>
        <v>20.988495575064999</v>
      </c>
      <c r="E1309" s="33">
        <f>(C1309*1.16814159292)+(-1)</f>
        <v>18.274336283180002</v>
      </c>
      <c r="F1309" s="33">
        <f>(C1309*1.1238938053)+(-4.4)</f>
        <v>14.14424778745</v>
      </c>
      <c r="G1309" s="33">
        <f>(C1309*1.06194690265)+(-5.9)</f>
        <v>11.622123893724998</v>
      </c>
      <c r="H1309" s="34">
        <f>(C1309*1.19469026548)+(0)</f>
        <v>19.712389380419999</v>
      </c>
      <c r="I1309" s="34">
        <f>(C1309*1.16814159292)+(-2)</f>
        <v>17.274336283180002</v>
      </c>
      <c r="J1309" s="34">
        <f>(C1309*1.1238938053)+(-3.9)</f>
        <v>14.64424778745</v>
      </c>
      <c r="K1309" s="34">
        <f>(C1309*1.07964601769)+(-5.6)</f>
        <v>12.214159291885002</v>
      </c>
    </row>
    <row r="1310" spans="1:11" s="21" customFormat="1" ht="19.95" customHeight="1" x14ac:dyDescent="0.25">
      <c r="A1310" s="13" t="str">
        <f>"80858"</f>
        <v>80858</v>
      </c>
      <c r="B1310" s="14" t="s">
        <v>1654</v>
      </c>
      <c r="C1310" s="13" t="str">
        <f>"18.9"</f>
        <v>18.9</v>
      </c>
      <c r="D1310" s="32">
        <f>(C1310*1.24778761061)+(0.4)</f>
        <v>23.983185840529</v>
      </c>
      <c r="E1310" s="33">
        <f>(C1310*1.16814159292)+(-1)</f>
        <v>21.077876106188</v>
      </c>
      <c r="F1310" s="33">
        <f>(C1310*1.1238938053)+(-4.4)</f>
        <v>16.841592920170001</v>
      </c>
      <c r="G1310" s="33">
        <f>(C1310*1.06194690265)+(-5.9)</f>
        <v>14.170796460084995</v>
      </c>
      <c r="H1310" s="34">
        <f>(C1310*1.19469026548)+(0)</f>
        <v>22.579646017571999</v>
      </c>
      <c r="I1310" s="34">
        <f>(C1310*1.16814159292)+(-2)</f>
        <v>20.077876106188</v>
      </c>
      <c r="J1310" s="34">
        <f>(C1310*1.1238938053)+(-3.9)</f>
        <v>17.341592920170001</v>
      </c>
      <c r="K1310" s="34">
        <f>(C1310*1.07964601769)+(-5.6)</f>
        <v>14.805309734341</v>
      </c>
    </row>
    <row r="1311" spans="1:11" s="21" customFormat="1" ht="19.95" customHeight="1" x14ac:dyDescent="0.25">
      <c r="A1311" s="13" t="str">
        <f>"7215"</f>
        <v>7215</v>
      </c>
      <c r="B1311" s="14" t="s">
        <v>1655</v>
      </c>
      <c r="C1311" s="13" t="str">
        <f>"9.0"</f>
        <v>9.0</v>
      </c>
      <c r="D1311" s="32">
        <f>(C1311*1.24778761061)+(0.4)</f>
        <v>11.630088495490002</v>
      </c>
      <c r="E1311" s="33">
        <f>(C1311*1.16814159292)+(-1)</f>
        <v>9.5132743362800003</v>
      </c>
      <c r="F1311" s="33">
        <f>(C1311*1.1238938053)+(-4.4)</f>
        <v>5.7150442476999999</v>
      </c>
      <c r="G1311" s="33">
        <f>(C1311*1.06194690265)+(-5.9)</f>
        <v>3.6575221238499989</v>
      </c>
      <c r="H1311" s="34">
        <f>(C1311*1.19469026548)+(0)</f>
        <v>10.75221238932</v>
      </c>
      <c r="I1311" s="34">
        <f>(C1311*1.16814159292)+(-2)</f>
        <v>8.5132743362800003</v>
      </c>
      <c r="J1311" s="34">
        <f>(C1311*1.1238938053)+(-3.9)</f>
        <v>6.2150442476999999</v>
      </c>
      <c r="K1311" s="34">
        <f>(C1311*1.07964601769)+(-5.6)</f>
        <v>4.1168141592099996</v>
      </c>
    </row>
    <row r="1312" spans="1:11" s="21" customFormat="1" ht="19.95" customHeight="1" x14ac:dyDescent="0.25">
      <c r="A1312" s="13" t="str">
        <f>"66662"</f>
        <v>66662</v>
      </c>
      <c r="B1312" s="14" t="s">
        <v>1656</v>
      </c>
      <c r="C1312" s="13" t="str">
        <f>"12.4"</f>
        <v>12.4</v>
      </c>
      <c r="D1312" s="32">
        <f>(C1312*1.24778761061)+(0.4)</f>
        <v>15.872566371564002</v>
      </c>
      <c r="E1312" s="33">
        <f>(C1312*1.16814159292)+(-1)</f>
        <v>13.484955752208002</v>
      </c>
      <c r="F1312" s="33">
        <f>(C1312*1.1238938053)+(-4.4)</f>
        <v>9.5362831857200003</v>
      </c>
      <c r="G1312" s="33">
        <f>(C1312*1.06194690265)+(-5.9)</f>
        <v>7.2681415928599993</v>
      </c>
      <c r="H1312" s="34">
        <f>(C1312*1.19469026548)+(0)</f>
        <v>14.814159291952</v>
      </c>
      <c r="I1312" s="34">
        <f>(C1312*1.16814159292)+(-2)</f>
        <v>12.484955752208002</v>
      </c>
      <c r="J1312" s="34">
        <f>(C1312*1.1238938053)+(-3.9)</f>
        <v>10.03628318572</v>
      </c>
      <c r="K1312" s="34">
        <f>(C1312*1.07964601769)+(-5.6)</f>
        <v>7.7876106193560002</v>
      </c>
    </row>
    <row r="1313" spans="1:11" s="21" customFormat="1" ht="19.95" customHeight="1" x14ac:dyDescent="0.25">
      <c r="A1313" s="13" t="str">
        <f>"66834"</f>
        <v>66834</v>
      </c>
      <c r="B1313" s="14" t="s">
        <v>1657</v>
      </c>
      <c r="C1313" s="13" t="str">
        <f>"17.7"</f>
        <v>17.7</v>
      </c>
      <c r="D1313" s="32">
        <f>(C1313*1.24778761061)+(0.4)</f>
        <v>22.485840707796999</v>
      </c>
      <c r="E1313" s="33">
        <f>(C1313*1.16814159292)+(-1)</f>
        <v>19.676106194683999</v>
      </c>
      <c r="F1313" s="33">
        <f>(C1313*1.1238938053)+(-4.4)</f>
        <v>15.492920353809998</v>
      </c>
      <c r="G1313" s="33">
        <f>(C1313*1.06194690265)+(-5.9)</f>
        <v>12.896460176904997</v>
      </c>
      <c r="H1313" s="34">
        <f>(C1313*1.19469026548)+(0)</f>
        <v>21.146017698996001</v>
      </c>
      <c r="I1313" s="34">
        <f>(C1313*1.16814159292)+(-2)</f>
        <v>18.676106194683999</v>
      </c>
      <c r="J1313" s="34">
        <f>(C1313*1.1238938053)+(-3.9)</f>
        <v>15.992920353809998</v>
      </c>
      <c r="K1313" s="34">
        <f>(C1313*1.07964601769)+(-5.6)</f>
        <v>13.509734513113001</v>
      </c>
    </row>
    <row r="1314" spans="1:11" s="21" customFormat="1" ht="19.95" customHeight="1" x14ac:dyDescent="0.25">
      <c r="A1314" s="13" t="str">
        <f>"5329"</f>
        <v>5329</v>
      </c>
      <c r="B1314" s="14" t="s">
        <v>1658</v>
      </c>
      <c r="C1314" s="13" t="str">
        <f>"11.5"</f>
        <v>11.5</v>
      </c>
      <c r="D1314" s="32">
        <f>(C1314*1.24778761061)+(0.4)</f>
        <v>14.749557522015001</v>
      </c>
      <c r="E1314" s="33">
        <f>(C1314*1.16814159292)+(-1)</f>
        <v>12.43362831858</v>
      </c>
      <c r="F1314" s="33">
        <f>(C1314*1.1238938053)+(-4.4)</f>
        <v>8.5247787609499994</v>
      </c>
      <c r="G1314" s="33">
        <f>(C1314*1.06194690265)+(-5.9)</f>
        <v>6.3123893804749986</v>
      </c>
      <c r="H1314" s="34">
        <f>(C1314*1.19469026548)+(0)</f>
        <v>13.73893805302</v>
      </c>
      <c r="I1314" s="34">
        <f>(C1314*1.16814159292)+(-2)</f>
        <v>11.43362831858</v>
      </c>
      <c r="J1314" s="34">
        <f>(C1314*1.1238938053)+(-3.9)</f>
        <v>9.0247787609499994</v>
      </c>
      <c r="K1314" s="34">
        <f>(C1314*1.07964601769)+(-5.6)</f>
        <v>6.815929203435001</v>
      </c>
    </row>
    <row r="1315" spans="1:11" s="21" customFormat="1" ht="19.95" customHeight="1" x14ac:dyDescent="0.25">
      <c r="A1315" s="13" t="str">
        <f>"16923"</f>
        <v>16923</v>
      </c>
      <c r="B1315" s="14" t="s">
        <v>1659</v>
      </c>
      <c r="C1315" s="13" t="str">
        <f>"16.2"</f>
        <v>16.2</v>
      </c>
      <c r="D1315" s="32">
        <f>(C1315*1.24778761061)+(0.4)</f>
        <v>20.614159291882</v>
      </c>
      <c r="E1315" s="33">
        <f>(C1315*1.16814159292)+(-1)</f>
        <v>17.923893805304001</v>
      </c>
      <c r="F1315" s="33">
        <f>(C1315*1.1238938053)+(-4.4)</f>
        <v>13.807079645859998</v>
      </c>
      <c r="G1315" s="33">
        <f>(C1315*1.06194690265)+(-5.9)</f>
        <v>11.303539822929997</v>
      </c>
      <c r="H1315" s="34">
        <f>(C1315*1.19469026548)+(0)</f>
        <v>19.353982300776</v>
      </c>
      <c r="I1315" s="34">
        <f>(C1315*1.16814159292)+(-2)</f>
        <v>16.923893805304001</v>
      </c>
      <c r="J1315" s="34">
        <f>(C1315*1.1238938053)+(-3.9)</f>
        <v>14.307079645859998</v>
      </c>
      <c r="K1315" s="34">
        <f>(C1315*1.07964601769)+(-5.6)</f>
        <v>11.890265486578</v>
      </c>
    </row>
    <row r="1316" spans="1:11" s="21" customFormat="1" ht="19.95" customHeight="1" x14ac:dyDescent="0.25">
      <c r="A1316" s="13" t="str">
        <f>"22224"</f>
        <v>22224</v>
      </c>
      <c r="B1316" s="14" t="s">
        <v>1660</v>
      </c>
      <c r="C1316" s="13" t="str">
        <f>"8.4"</f>
        <v>8.4</v>
      </c>
      <c r="D1316" s="32">
        <f>(C1316*1.24778761061)+(0.4)</f>
        <v>10.881415929124001</v>
      </c>
      <c r="E1316" s="33">
        <f>(C1316*1.16814159292)+(-1)</f>
        <v>8.8123893805280016</v>
      </c>
      <c r="F1316" s="33">
        <f>(C1316*1.1238938053)+(-4.4)</f>
        <v>5.040707964520001</v>
      </c>
      <c r="G1316" s="33">
        <f>(C1316*1.06194690265)+(-5.9)</f>
        <v>3.0203539822599996</v>
      </c>
      <c r="H1316" s="34">
        <f>(C1316*1.19469026548)+(0)</f>
        <v>10.035398230032001</v>
      </c>
      <c r="I1316" s="34">
        <f>(C1316*1.16814159292)+(-2)</f>
        <v>7.8123893805280016</v>
      </c>
      <c r="J1316" s="34">
        <f>(C1316*1.1238938053)+(-3.9)</f>
        <v>5.540707964520001</v>
      </c>
      <c r="K1316" s="34">
        <f>(C1316*1.07964601769)+(-5.6)</f>
        <v>3.4690265485960001</v>
      </c>
    </row>
    <row r="1317" spans="1:11" s="21" customFormat="1" ht="19.95" customHeight="1" x14ac:dyDescent="0.25">
      <c r="A1317" s="13" t="str">
        <f>"74131"</f>
        <v>74131</v>
      </c>
      <c r="B1317" s="14" t="s">
        <v>1661</v>
      </c>
      <c r="C1317" s="13" t="str">
        <f>"29.4"</f>
        <v>29.4</v>
      </c>
      <c r="D1317" s="32">
        <f>(C1317*1.24778761061)+(0.4)</f>
        <v>37.084955751933997</v>
      </c>
      <c r="E1317" s="33">
        <f>(C1317*1.16814159292)+(-1)</f>
        <v>33.343362831847998</v>
      </c>
      <c r="F1317" s="33">
        <f>(C1317*1.1238938053)+(-4.4)</f>
        <v>28.642477875819999</v>
      </c>
      <c r="G1317" s="33">
        <f>(C1317*1.06194690265)+(-5.9)</f>
        <v>25.321238937909996</v>
      </c>
      <c r="H1317" s="34">
        <f>(C1317*1.19469026548)+(0)</f>
        <v>35.123893805111997</v>
      </c>
      <c r="I1317" s="34">
        <f>(C1317*1.16814159292)+(-2)</f>
        <v>32.343362831847998</v>
      </c>
      <c r="J1317" s="34">
        <f>(C1317*1.1238938053)+(-3.9)</f>
        <v>29.142477875819999</v>
      </c>
      <c r="K1317" s="34">
        <f>(C1317*1.07964601769)+(-5.6)</f>
        <v>26.141592920085998</v>
      </c>
    </row>
    <row r="1318" spans="1:11" s="21" customFormat="1" ht="19.95" customHeight="1" x14ac:dyDescent="0.25">
      <c r="A1318" s="13" t="str">
        <f>"65565"</f>
        <v>65565</v>
      </c>
      <c r="B1318" s="14" t="s">
        <v>1662</v>
      </c>
      <c r="C1318" s="13" t="str">
        <f>"23.6"</f>
        <v>23.6</v>
      </c>
      <c r="D1318" s="32">
        <f>(C1318*1.24778761061)+(0.4)</f>
        <v>29.847787610396004</v>
      </c>
      <c r="E1318" s="33">
        <f>(C1318*1.16814159292)+(-1)</f>
        <v>26.568141592912003</v>
      </c>
      <c r="F1318" s="33">
        <f>(C1318*1.1238938053)+(-4.4)</f>
        <v>22.123893805080002</v>
      </c>
      <c r="G1318" s="33">
        <f>(C1318*1.06194690265)+(-5.9)</f>
        <v>19.161946902540002</v>
      </c>
      <c r="H1318" s="34">
        <f>(C1318*1.19469026548)+(0)</f>
        <v>28.194690265328003</v>
      </c>
      <c r="I1318" s="34">
        <f>(C1318*1.16814159292)+(-2)</f>
        <v>25.568141592912003</v>
      </c>
      <c r="J1318" s="34">
        <f>(C1318*1.1238938053)+(-3.9)</f>
        <v>22.623893805080005</v>
      </c>
      <c r="K1318" s="34">
        <f>(C1318*1.07964601769)+(-5.6)</f>
        <v>19.879646017483999</v>
      </c>
    </row>
    <row r="1319" spans="1:11" s="21" customFormat="1" ht="19.95" customHeight="1" x14ac:dyDescent="0.25">
      <c r="A1319" s="13" t="str">
        <f>"78308"</f>
        <v>78308</v>
      </c>
      <c r="B1319" s="14" t="s">
        <v>1663</v>
      </c>
      <c r="C1319" s="13" t="str">
        <f>"20.0000"</f>
        <v>20.0000</v>
      </c>
      <c r="D1319" s="32">
        <f>(C1319*1.24778761061)+(0.4)</f>
        <v>25.355752212200002</v>
      </c>
      <c r="E1319" s="33">
        <f>(C1319*1.16814159292)+(-1)</f>
        <v>22.3628318584</v>
      </c>
      <c r="F1319" s="33">
        <f>(C1319*1.1238938053)+(-4.4)</f>
        <v>18.077876105999998</v>
      </c>
      <c r="G1319" s="33">
        <f>(C1319*1.06194690265)+(-5.9)</f>
        <v>15.338938052999998</v>
      </c>
      <c r="H1319" s="34">
        <f>(C1319*1.19469026548)+(0)</f>
        <v>23.893805309600001</v>
      </c>
      <c r="I1319" s="34">
        <f>(C1319*1.16814159292)+(-2)</f>
        <v>21.3628318584</v>
      </c>
      <c r="J1319" s="34">
        <f>(C1319*1.1238938053)+(-3.9)</f>
        <v>18.577876106000001</v>
      </c>
      <c r="K1319" s="34">
        <f>(C1319*1.07964601769)+(-5.6)</f>
        <v>15.992920353800001</v>
      </c>
    </row>
    <row r="1320" spans="1:11" s="21" customFormat="1" ht="19.95" customHeight="1" x14ac:dyDescent="0.25">
      <c r="A1320" s="13" t="str">
        <f>"16927"</f>
        <v>16927</v>
      </c>
      <c r="B1320" s="14" t="s">
        <v>1664</v>
      </c>
      <c r="C1320" s="13" t="str">
        <f>"27.2"</f>
        <v>27.2</v>
      </c>
      <c r="D1320" s="32">
        <f>(C1320*1.24778761061)+(0.4)</f>
        <v>34.339823008591999</v>
      </c>
      <c r="E1320" s="33">
        <f>(C1320*1.16814159292)+(-1)</f>
        <v>30.773451327424002</v>
      </c>
      <c r="F1320" s="33">
        <f>(C1320*1.1238938053)+(-4.4)</f>
        <v>26.169911504159998</v>
      </c>
      <c r="G1320" s="33">
        <f>(C1320*1.06194690265)+(-5.9)</f>
        <v>22.984955752079998</v>
      </c>
      <c r="H1320" s="34">
        <f>(C1320*1.19469026548)+(0)</f>
        <v>32.495575221056001</v>
      </c>
      <c r="I1320" s="34">
        <f>(C1320*1.16814159292)+(-2)</f>
        <v>29.773451327424002</v>
      </c>
      <c r="J1320" s="34">
        <f>(C1320*1.1238938053)+(-3.9)</f>
        <v>26.669911504160002</v>
      </c>
      <c r="K1320" s="34">
        <f>(C1320*1.07964601769)+(-5.6)</f>
        <v>23.766371681168003</v>
      </c>
    </row>
    <row r="1321" spans="1:11" s="21" customFormat="1" ht="19.95" customHeight="1" x14ac:dyDescent="0.25">
      <c r="A1321" s="13" t="str">
        <f>"77652"</f>
        <v>77652</v>
      </c>
      <c r="B1321" s="14" t="s">
        <v>1665</v>
      </c>
      <c r="C1321" s="13" t="str">
        <f>"18.9"</f>
        <v>18.9</v>
      </c>
      <c r="D1321" s="32">
        <f>(C1321*1.24778761061)+(0.4)</f>
        <v>23.983185840529</v>
      </c>
      <c r="E1321" s="33">
        <f>(C1321*1.16814159292)+(-1)</f>
        <v>21.077876106188</v>
      </c>
      <c r="F1321" s="33">
        <f>(C1321*1.1238938053)+(-4.4)</f>
        <v>16.841592920170001</v>
      </c>
      <c r="G1321" s="33">
        <f>(C1321*1.06194690265)+(-5.9)</f>
        <v>14.170796460084995</v>
      </c>
      <c r="H1321" s="34">
        <f>(C1321*1.19469026548)+(0)</f>
        <v>22.579646017571999</v>
      </c>
      <c r="I1321" s="34">
        <f>(C1321*1.16814159292)+(-2)</f>
        <v>20.077876106188</v>
      </c>
      <c r="J1321" s="34">
        <f>(C1321*1.1238938053)+(-3.9)</f>
        <v>17.341592920170001</v>
      </c>
      <c r="K1321" s="34">
        <f>(C1321*1.07964601769)+(-5.6)</f>
        <v>14.805309734341</v>
      </c>
    </row>
    <row r="1322" spans="1:11" s="21" customFormat="1" ht="19.95" customHeight="1" x14ac:dyDescent="0.25">
      <c r="A1322" s="13" t="str">
        <f>"16929"</f>
        <v>16929</v>
      </c>
      <c r="B1322" s="14" t="s">
        <v>1666</v>
      </c>
      <c r="C1322" s="13" t="str">
        <f>"19.9"</f>
        <v>19.9</v>
      </c>
      <c r="D1322" s="32">
        <f>(C1322*1.24778761061)+(0.4)</f>
        <v>25.230973451139</v>
      </c>
      <c r="E1322" s="33">
        <f>(C1322*1.16814159292)+(-1)</f>
        <v>22.246017699107998</v>
      </c>
      <c r="F1322" s="33">
        <f>(C1322*1.1238938053)+(-4.4)</f>
        <v>17.965486725470001</v>
      </c>
      <c r="G1322" s="33">
        <f>(C1322*1.06194690265)+(-5.9)</f>
        <v>15.232743362734995</v>
      </c>
      <c r="H1322" s="34">
        <f>(C1322*1.19469026548)+(0)</f>
        <v>23.774336283051998</v>
      </c>
      <c r="I1322" s="34">
        <f>(C1322*1.16814159292)+(-2)</f>
        <v>21.246017699107998</v>
      </c>
      <c r="J1322" s="34">
        <f>(C1322*1.1238938053)+(-3.9)</f>
        <v>18.465486725470001</v>
      </c>
      <c r="K1322" s="34">
        <f>(C1322*1.07964601769)+(-5.6)</f>
        <v>15.884955752030999</v>
      </c>
    </row>
    <row r="1323" spans="1:11" s="21" customFormat="1" ht="19.95" customHeight="1" x14ac:dyDescent="0.25">
      <c r="A1323" s="13" t="str">
        <f>"38832"</f>
        <v>38832</v>
      </c>
      <c r="B1323" s="14" t="s">
        <v>1667</v>
      </c>
      <c r="C1323" s="13" t="str">
        <f>"7.5"</f>
        <v>7.5</v>
      </c>
      <c r="D1323" s="32">
        <f>(C1323*1.24778761061)+(0.4)</f>
        <v>9.7584070795750009</v>
      </c>
      <c r="E1323" s="33">
        <f>(C1323*1.16814159292)+(-1)</f>
        <v>7.7610619469</v>
      </c>
      <c r="F1323" s="33">
        <f>(C1323*1.1238938053)+(-4.4)</f>
        <v>4.0292035397500001</v>
      </c>
      <c r="G1323" s="33">
        <f>(C1323*1.06194690265)+(-5.9)</f>
        <v>2.064601769874999</v>
      </c>
      <c r="H1323" s="34">
        <f>(C1323*1.19469026548)+(0)</f>
        <v>8.9601769911000009</v>
      </c>
      <c r="I1323" s="34">
        <f>(C1323*1.16814159292)+(-2)</f>
        <v>6.7610619469</v>
      </c>
      <c r="J1323" s="34">
        <f>(C1323*1.1238938053)+(-3.9)</f>
        <v>4.5292035397500001</v>
      </c>
      <c r="K1323" s="34">
        <f>(C1323*1.07964601769)+(-5.6)</f>
        <v>2.4973451326750009</v>
      </c>
    </row>
    <row r="1324" spans="1:11" s="21" customFormat="1" ht="19.95" customHeight="1" x14ac:dyDescent="0.25">
      <c r="A1324" s="13" t="str">
        <f>"79685"</f>
        <v>79685</v>
      </c>
      <c r="B1324" s="14" t="s">
        <v>1668</v>
      </c>
      <c r="C1324" s="13" t="str">
        <f>"25.9"</f>
        <v>25.9</v>
      </c>
      <c r="D1324" s="32">
        <f>(C1324*1.24778761061)+(0.4)</f>
        <v>32.717699114798997</v>
      </c>
      <c r="E1324" s="33">
        <f>(C1324*1.16814159292)+(-1)</f>
        <v>29.254867256628</v>
      </c>
      <c r="F1324" s="33">
        <f>(C1324*1.1238938053)+(-4.4)</f>
        <v>24.70884955727</v>
      </c>
      <c r="G1324" s="33">
        <f>(C1324*1.06194690265)+(-5.9)</f>
        <v>21.604424778634993</v>
      </c>
      <c r="H1324" s="34">
        <f>(C1324*1.19469026548)+(0)</f>
        <v>30.942477875931999</v>
      </c>
      <c r="I1324" s="34">
        <f>(C1324*1.16814159292)+(-2)</f>
        <v>28.254867256628</v>
      </c>
      <c r="J1324" s="34">
        <f>(C1324*1.1238938053)+(-3.9)</f>
        <v>25.20884955727</v>
      </c>
      <c r="K1324" s="34">
        <f>(C1324*1.07964601769)+(-5.6)</f>
        <v>22.362831858170999</v>
      </c>
    </row>
    <row r="1325" spans="1:11" s="21" customFormat="1" ht="19.95" customHeight="1" x14ac:dyDescent="0.25">
      <c r="A1325" s="13" t="str">
        <f>"4694"</f>
        <v>4694</v>
      </c>
      <c r="B1325" s="14" t="s">
        <v>1669</v>
      </c>
      <c r="C1325" s="13" t="str">
        <f>"15.3"</f>
        <v>15.3</v>
      </c>
      <c r="D1325" s="32">
        <f>(C1325*1.24778761061)+(0.4)</f>
        <v>19.491150442333002</v>
      </c>
      <c r="E1325" s="33">
        <f>(C1325*1.16814159292)+(-1)</f>
        <v>16.872566371676001</v>
      </c>
      <c r="F1325" s="33">
        <f>(C1325*1.1238938053)+(-4.4)</f>
        <v>12.795575221090003</v>
      </c>
      <c r="G1325" s="33">
        <f>(C1325*1.06194690265)+(-5.9)</f>
        <v>10.347787610545</v>
      </c>
      <c r="H1325" s="34">
        <f>(C1325*1.19469026548)+(0)</f>
        <v>18.278761061844001</v>
      </c>
      <c r="I1325" s="34">
        <f>(C1325*1.16814159292)+(-2)</f>
        <v>15.872566371676001</v>
      </c>
      <c r="J1325" s="34">
        <f>(C1325*1.1238938053)+(-3.9)</f>
        <v>13.295575221090003</v>
      </c>
      <c r="K1325" s="34">
        <f>(C1325*1.07964601769)+(-5.6)</f>
        <v>10.918584070657003</v>
      </c>
    </row>
    <row r="1326" spans="1:11" s="21" customFormat="1" ht="19.95" customHeight="1" x14ac:dyDescent="0.25">
      <c r="A1326" s="13" t="str">
        <f>"22228"</f>
        <v>22228</v>
      </c>
      <c r="B1326" s="14" t="s">
        <v>1670</v>
      </c>
      <c r="C1326" s="13" t="str">
        <f>"19.0"</f>
        <v>19.0</v>
      </c>
      <c r="D1326" s="32">
        <f>(C1326*1.24778761061)+(0.4)</f>
        <v>24.107964601590002</v>
      </c>
      <c r="E1326" s="33">
        <f>(C1326*1.16814159292)+(-1)</f>
        <v>21.194690265480002</v>
      </c>
      <c r="F1326" s="33">
        <f>(C1326*1.1238938053)+(-4.4)</f>
        <v>16.953982300699998</v>
      </c>
      <c r="G1326" s="33">
        <f>(C1326*1.06194690265)+(-5.9)</f>
        <v>14.276991150349998</v>
      </c>
      <c r="H1326" s="34">
        <f>(C1326*1.19469026548)+(0)</f>
        <v>22.699115044119999</v>
      </c>
      <c r="I1326" s="34">
        <f>(C1326*1.16814159292)+(-2)</f>
        <v>20.194690265480002</v>
      </c>
      <c r="J1326" s="34">
        <f>(C1326*1.1238938053)+(-3.9)</f>
        <v>17.453982300700002</v>
      </c>
      <c r="K1326" s="34">
        <f>(C1326*1.07964601769)+(-5.6)</f>
        <v>14.913274336110002</v>
      </c>
    </row>
    <row r="1327" spans="1:11" s="21" customFormat="1" ht="19.95" customHeight="1" x14ac:dyDescent="0.25">
      <c r="A1327" s="13" t="str">
        <f>"43518"</f>
        <v>43518</v>
      </c>
      <c r="B1327" s="14" t="s">
        <v>1671</v>
      </c>
      <c r="C1327" s="13" t="str">
        <f>"27.3"</f>
        <v>27.3</v>
      </c>
      <c r="D1327" s="32">
        <f>(C1327*1.24778761061)+(0.4)</f>
        <v>34.464601769653001</v>
      </c>
      <c r="E1327" s="33">
        <f>(C1327*1.16814159292)+(-1)</f>
        <v>30.890265486716004</v>
      </c>
      <c r="F1327" s="33">
        <f>(C1327*1.1238938053)+(-4.4)</f>
        <v>26.282300884690002</v>
      </c>
      <c r="G1327" s="33">
        <f>(C1327*1.06194690265)+(-5.9)</f>
        <v>23.091150442344997</v>
      </c>
      <c r="H1327" s="34">
        <f>(C1327*1.19469026548)+(0)</f>
        <v>32.615044247604004</v>
      </c>
      <c r="I1327" s="34">
        <f>(C1327*1.16814159292)+(-2)</f>
        <v>29.890265486716004</v>
      </c>
      <c r="J1327" s="34">
        <f>(C1327*1.1238938053)+(-3.9)</f>
        <v>26.782300884690002</v>
      </c>
      <c r="K1327" s="34">
        <f>(C1327*1.07964601769)+(-5.6)</f>
        <v>23.874336282937001</v>
      </c>
    </row>
    <row r="1328" spans="1:11" s="21" customFormat="1" ht="19.95" customHeight="1" x14ac:dyDescent="0.25">
      <c r="A1328" s="13" t="str">
        <f>"40489"</f>
        <v>40489</v>
      </c>
      <c r="B1328" s="14" t="s">
        <v>1672</v>
      </c>
      <c r="C1328" s="13" t="str">
        <f>"8.4"</f>
        <v>8.4</v>
      </c>
      <c r="D1328" s="32">
        <f>(C1328*1.24778761061)+(0.4)</f>
        <v>10.881415929124001</v>
      </c>
      <c r="E1328" s="33">
        <f>(C1328*1.16814159292)+(-1)</f>
        <v>8.8123893805280016</v>
      </c>
      <c r="F1328" s="33">
        <f>(C1328*1.1238938053)+(-4.4)</f>
        <v>5.040707964520001</v>
      </c>
      <c r="G1328" s="33">
        <f>(C1328*1.06194690265)+(-5.9)</f>
        <v>3.0203539822599996</v>
      </c>
      <c r="H1328" s="34">
        <f>(C1328*1.19469026548)+(0)</f>
        <v>10.035398230032001</v>
      </c>
      <c r="I1328" s="34">
        <f>(C1328*1.16814159292)+(-2)</f>
        <v>7.8123893805280016</v>
      </c>
      <c r="J1328" s="34">
        <f>(C1328*1.1238938053)+(-3.9)</f>
        <v>5.540707964520001</v>
      </c>
      <c r="K1328" s="34">
        <f>(C1328*1.07964601769)+(-5.6)</f>
        <v>3.4690265485960001</v>
      </c>
    </row>
    <row r="1329" spans="1:11" s="21" customFormat="1" ht="19.95" customHeight="1" x14ac:dyDescent="0.25">
      <c r="A1329" s="13" t="str">
        <f>"16934"</f>
        <v>16934</v>
      </c>
      <c r="B1329" s="14" t="s">
        <v>1673</v>
      </c>
      <c r="C1329" s="13" t="str">
        <f>"3.1"</f>
        <v>3.1</v>
      </c>
      <c r="D1329" s="32">
        <f>(C1329*1.24778761061)+(0.4)</f>
        <v>4.2681415928910003</v>
      </c>
      <c r="E1329" s="33">
        <f>(C1329*1.16814159292)+(-1)</f>
        <v>2.6212389380520005</v>
      </c>
      <c r="F1329" s="33">
        <f>(C1329*1.1238938053)+(-4.4)</f>
        <v>-0.91592920357000018</v>
      </c>
      <c r="G1329" s="33">
        <f>(C1329*1.06194690265)+(-5.9)</f>
        <v>-2.6079646017850004</v>
      </c>
      <c r="H1329" s="34">
        <f>(C1329*1.19469026548)+(0)</f>
        <v>3.7035398229880001</v>
      </c>
      <c r="I1329" s="34">
        <f>(C1329*1.16814159292)+(-2)</f>
        <v>1.6212389380520005</v>
      </c>
      <c r="J1329" s="34">
        <f>(C1329*1.1238938053)+(-3.9)</f>
        <v>-0.41592920356999974</v>
      </c>
      <c r="K1329" s="34">
        <f>(C1329*1.07964601769)+(-5.6)</f>
        <v>-2.2530973451609997</v>
      </c>
    </row>
    <row r="1330" spans="1:11" s="21" customFormat="1" ht="19.95" customHeight="1" x14ac:dyDescent="0.25">
      <c r="A1330" s="13" t="str">
        <f>"16938"</f>
        <v>16938</v>
      </c>
      <c r="B1330" s="14" t="s">
        <v>1674</v>
      </c>
      <c r="C1330" s="13" t="str">
        <f>"21.4"</f>
        <v>21.4</v>
      </c>
      <c r="D1330" s="32">
        <f>(C1330*1.24778761061)+(0.4)</f>
        <v>27.102654867054</v>
      </c>
      <c r="E1330" s="33">
        <f>(C1330*1.16814159292)+(-1)</f>
        <v>23.998230088488</v>
      </c>
      <c r="F1330" s="33">
        <f>(C1330*1.1238938053)+(-4.4)</f>
        <v>19.651327433420001</v>
      </c>
      <c r="G1330" s="33">
        <f>(C1330*1.06194690265)+(-5.9)</f>
        <v>16.825663716709997</v>
      </c>
      <c r="H1330" s="34">
        <f>(C1330*1.19469026548)+(0)</f>
        <v>25.566371681271999</v>
      </c>
      <c r="I1330" s="34">
        <f>(C1330*1.16814159292)+(-2)</f>
        <v>22.998230088488</v>
      </c>
      <c r="J1330" s="34">
        <f>(C1330*1.1238938053)+(-3.9)</f>
        <v>20.151327433420001</v>
      </c>
      <c r="K1330" s="34">
        <f>(C1330*1.07964601769)+(-5.6)</f>
        <v>17.504424778565998</v>
      </c>
    </row>
    <row r="1331" spans="1:11" s="21" customFormat="1" ht="19.95" customHeight="1" x14ac:dyDescent="0.25">
      <c r="A1331" s="13" t="str">
        <f>"6783"</f>
        <v>6783</v>
      </c>
      <c r="B1331" s="14" t="s">
        <v>1675</v>
      </c>
      <c r="C1331" s="13" t="str">
        <f>"27.4"</f>
        <v>27.4</v>
      </c>
      <c r="D1331" s="32">
        <f>(C1331*1.24778761061)+(0.4)</f>
        <v>34.589380530714003</v>
      </c>
      <c r="E1331" s="33">
        <f>(C1331*1.16814159292)+(-1)</f>
        <v>31.007079646008002</v>
      </c>
      <c r="F1331" s="33">
        <f>(C1331*1.1238938053)+(-4.4)</f>
        <v>26.39469026522</v>
      </c>
      <c r="G1331" s="33">
        <f>(C1331*1.06194690265)+(-5.9)</f>
        <v>23.197345132609996</v>
      </c>
      <c r="H1331" s="34">
        <f>(C1331*1.19469026548)+(0)</f>
        <v>32.734513274152</v>
      </c>
      <c r="I1331" s="34">
        <f>(C1331*1.16814159292)+(-2)</f>
        <v>30.007079646008002</v>
      </c>
      <c r="J1331" s="34">
        <f>(C1331*1.1238938053)+(-3.9)</f>
        <v>26.89469026522</v>
      </c>
      <c r="K1331" s="34">
        <f>(C1331*1.07964601769)+(-5.6)</f>
        <v>23.982300884706</v>
      </c>
    </row>
    <row r="1332" spans="1:11" s="21" customFormat="1" ht="19.95" customHeight="1" x14ac:dyDescent="0.25">
      <c r="A1332" s="13" t="str">
        <f>"1013594"</f>
        <v>1013594</v>
      </c>
      <c r="B1332" s="14" t="s">
        <v>1676</v>
      </c>
      <c r="C1332" s="13" t="str">
        <f>"28.0"</f>
        <v>28.0</v>
      </c>
      <c r="D1332" s="32">
        <f>(C1332*1.24778761061)+(0.4)</f>
        <v>35.33805309708</v>
      </c>
      <c r="E1332" s="33">
        <f>(C1332*1.16814159292)+(-1)</f>
        <v>31.707964601760004</v>
      </c>
      <c r="F1332" s="33">
        <f>(C1332*1.1238938053)+(-4.4)</f>
        <v>27.069026548400004</v>
      </c>
      <c r="G1332" s="33">
        <f>(C1332*1.06194690265)+(-5.9)</f>
        <v>23.834513274199999</v>
      </c>
      <c r="H1332" s="34">
        <f>(C1332*1.19469026548)+(0)</f>
        <v>33.451327433439999</v>
      </c>
      <c r="I1332" s="34">
        <f>(C1332*1.16814159292)+(-2)</f>
        <v>30.707964601760004</v>
      </c>
      <c r="J1332" s="34">
        <f>(C1332*1.1238938053)+(-3.9)</f>
        <v>27.569026548400004</v>
      </c>
      <c r="K1332" s="34">
        <f>(C1332*1.07964601769)+(-5.6)</f>
        <v>24.630088495320003</v>
      </c>
    </row>
    <row r="1333" spans="1:11" s="21" customFormat="1" ht="19.95" customHeight="1" x14ac:dyDescent="0.25">
      <c r="A1333" s="13" t="str">
        <f>"1008201"</f>
        <v>1008201</v>
      </c>
      <c r="B1333" s="14" t="s">
        <v>1677</v>
      </c>
      <c r="C1333" s="13" t="str">
        <f>"20.2"</f>
        <v>20.2</v>
      </c>
      <c r="D1333" s="32">
        <f>(C1333*1.24778761061)+(0.4)</f>
        <v>25.605309734321999</v>
      </c>
      <c r="E1333" s="33">
        <f>(C1333*1.16814159292)+(-1)</f>
        <v>22.596460176983999</v>
      </c>
      <c r="F1333" s="33">
        <f>(C1333*1.1238938053)+(-4.4)</f>
        <v>18.302654867059999</v>
      </c>
      <c r="G1333" s="33">
        <f>(C1333*1.06194690265)+(-5.9)</f>
        <v>15.551327433529996</v>
      </c>
      <c r="H1333" s="34">
        <f>(C1333*1.19469026548)+(0)</f>
        <v>24.132743362696001</v>
      </c>
      <c r="I1333" s="34">
        <f>(C1333*1.16814159292)+(-2)</f>
        <v>21.596460176983999</v>
      </c>
      <c r="J1333" s="34">
        <f>(C1333*1.1238938053)+(-3.9)</f>
        <v>18.802654867060003</v>
      </c>
      <c r="K1333" s="34">
        <f>(C1333*1.07964601769)+(-5.6)</f>
        <v>16.208849557337999</v>
      </c>
    </row>
    <row r="1334" spans="1:11" s="21" customFormat="1" ht="19.95" customHeight="1" x14ac:dyDescent="0.25">
      <c r="A1334" s="13" t="str">
        <f>"16948"</f>
        <v>16948</v>
      </c>
      <c r="B1334" s="14" t="s">
        <v>1678</v>
      </c>
      <c r="C1334" s="13" t="str">
        <f>"29.9"</f>
        <v>29.9</v>
      </c>
      <c r="D1334" s="32">
        <f>(C1334*1.24778761061)+(0.4)</f>
        <v>37.708849557238999</v>
      </c>
      <c r="E1334" s="33">
        <f>(C1334*1.16814159292)+(-1)</f>
        <v>33.927433628308002</v>
      </c>
      <c r="F1334" s="33">
        <f>(C1334*1.1238938053)+(-4.4)</f>
        <v>29.204424778469999</v>
      </c>
      <c r="G1334" s="33">
        <f>(C1334*1.06194690265)+(-5.9)</f>
        <v>25.852212389234992</v>
      </c>
      <c r="H1334" s="34">
        <f>(C1334*1.19469026548)+(0)</f>
        <v>35.721238937852</v>
      </c>
      <c r="I1334" s="34">
        <f>(C1334*1.16814159292)+(-2)</f>
        <v>32.927433628308002</v>
      </c>
      <c r="J1334" s="34">
        <f>(C1334*1.1238938053)+(-3.9)</f>
        <v>29.704424778469999</v>
      </c>
      <c r="K1334" s="34">
        <f>(C1334*1.07964601769)+(-5.6)</f>
        <v>26.681415928930996</v>
      </c>
    </row>
    <row r="1335" spans="1:11" s="21" customFormat="1" ht="19.95" customHeight="1" x14ac:dyDescent="0.25">
      <c r="A1335" s="13" t="str">
        <f>"73795"</f>
        <v>73795</v>
      </c>
      <c r="B1335" s="14" t="s">
        <v>1679</v>
      </c>
      <c r="C1335" s="13" t="str">
        <f>"10.5"</f>
        <v>10.5</v>
      </c>
      <c r="D1335" s="32">
        <f>(C1335*1.24778761061)+(0.4)</f>
        <v>13.501769911405001</v>
      </c>
      <c r="E1335" s="33">
        <f>(C1335*1.16814159292)+(-1)</f>
        <v>11.265486725660001</v>
      </c>
      <c r="F1335" s="33">
        <f>(C1335*1.1238938053)+(-4.4)</f>
        <v>7.4008849556499996</v>
      </c>
      <c r="G1335" s="33">
        <f>(C1335*1.06194690265)+(-5.9)</f>
        <v>5.2504424778249987</v>
      </c>
      <c r="H1335" s="34">
        <f>(C1335*1.19469026548)+(0)</f>
        <v>12.54424778754</v>
      </c>
      <c r="I1335" s="34">
        <f>(C1335*1.16814159292)+(-2)</f>
        <v>10.265486725660001</v>
      </c>
      <c r="J1335" s="34">
        <f>(C1335*1.1238938053)+(-3.9)</f>
        <v>7.9008849556499996</v>
      </c>
      <c r="K1335" s="34">
        <f>(C1335*1.07964601769)+(-5.6)</f>
        <v>5.7362831857450001</v>
      </c>
    </row>
    <row r="1336" spans="1:11" s="21" customFormat="1" ht="19.95" customHeight="1" x14ac:dyDescent="0.25">
      <c r="A1336" s="13" t="str">
        <f>"16952"</f>
        <v>16952</v>
      </c>
      <c r="B1336" s="14" t="s">
        <v>1680</v>
      </c>
      <c r="C1336" s="13" t="str">
        <f>"22.8"</f>
        <v>22.8</v>
      </c>
      <c r="D1336" s="32">
        <f>(C1336*1.24778761061)+(0.4)</f>
        <v>28.849557521908</v>
      </c>
      <c r="E1336" s="33">
        <f>(C1336*1.16814159292)+(-1)</f>
        <v>25.633628318576001</v>
      </c>
      <c r="F1336" s="33">
        <f>(C1336*1.1238938053)+(-4.4)</f>
        <v>21.224778760840003</v>
      </c>
      <c r="G1336" s="33">
        <f>(C1336*1.06194690265)+(-5.9)</f>
        <v>18.312389380420001</v>
      </c>
      <c r="H1336" s="34">
        <f>(C1336*1.19469026548)+(0)</f>
        <v>27.238938052944</v>
      </c>
      <c r="I1336" s="34">
        <f>(C1336*1.16814159292)+(-2)</f>
        <v>24.633628318576001</v>
      </c>
      <c r="J1336" s="34">
        <f>(C1336*1.1238938053)+(-3.9)</f>
        <v>21.724778760840003</v>
      </c>
      <c r="K1336" s="34">
        <f>(C1336*1.07964601769)+(-5.6)</f>
        <v>19.015929203332</v>
      </c>
    </row>
    <row r="1337" spans="1:11" s="21" customFormat="1" ht="19.95" customHeight="1" x14ac:dyDescent="0.25">
      <c r="A1337" s="13" t="str">
        <f>"13558"</f>
        <v>13558</v>
      </c>
      <c r="B1337" s="14" t="s">
        <v>1681</v>
      </c>
      <c r="C1337" s="13" t="str">
        <f>"34.9"</f>
        <v>34.9</v>
      </c>
      <c r="D1337" s="32">
        <f>(C1337*1.24778761061)+(0.4)</f>
        <v>43.947787610288998</v>
      </c>
      <c r="E1337" s="33">
        <f>(C1337*1.16814159292)+(-1)</f>
        <v>39.768141592908002</v>
      </c>
      <c r="F1337" s="33">
        <f>(C1337*1.1238938053)+(-4.4)</f>
        <v>34.823893804969998</v>
      </c>
      <c r="G1337" s="33">
        <f>(C1337*1.06194690265)+(-5.9)</f>
        <v>31.161946902484999</v>
      </c>
      <c r="H1337" s="34">
        <f>(C1337*1.19469026548)+(0)</f>
        <v>41.694690265252</v>
      </c>
      <c r="I1337" s="34">
        <f>(C1337*1.16814159292)+(-2)</f>
        <v>38.768141592908002</v>
      </c>
      <c r="J1337" s="34">
        <f>(C1337*1.1238938053)+(-3.9)</f>
        <v>35.323893804969998</v>
      </c>
      <c r="K1337" s="34">
        <f>(C1337*1.07964601769)+(-5.6)</f>
        <v>32.079646017380995</v>
      </c>
    </row>
    <row r="1338" spans="1:11" s="21" customFormat="1" ht="19.95" customHeight="1" x14ac:dyDescent="0.25">
      <c r="A1338" s="13" t="str">
        <f>"16964"</f>
        <v>16964</v>
      </c>
      <c r="B1338" s="14" t="s">
        <v>1682</v>
      </c>
      <c r="C1338" s="13" t="str">
        <f>"32.7"</f>
        <v>32.7</v>
      </c>
      <c r="D1338" s="32">
        <f>(C1338*1.24778761061)+(0.4)</f>
        <v>41.202654866947007</v>
      </c>
      <c r="E1338" s="33">
        <f>(C1338*1.16814159292)+(-1)</f>
        <v>37.198230088484003</v>
      </c>
      <c r="F1338" s="33">
        <f>(C1338*1.1238938053)+(-4.4)</f>
        <v>32.351327433310004</v>
      </c>
      <c r="G1338" s="33">
        <f>(C1338*1.06194690265)+(-5.9)</f>
        <v>28.825663716655001</v>
      </c>
      <c r="H1338" s="34">
        <f>(C1338*1.19469026548)+(0)</f>
        <v>39.066371681196003</v>
      </c>
      <c r="I1338" s="34">
        <f>(C1338*1.16814159292)+(-2)</f>
        <v>36.198230088484003</v>
      </c>
      <c r="J1338" s="34">
        <f>(C1338*1.1238938053)+(-3.9)</f>
        <v>32.851327433310004</v>
      </c>
      <c r="K1338" s="34">
        <f>(C1338*1.07964601769)+(-5.6)</f>
        <v>29.704424778463</v>
      </c>
    </row>
    <row r="1339" spans="1:11" s="21" customFormat="1" ht="19.95" customHeight="1" x14ac:dyDescent="0.25">
      <c r="A1339" s="13" t="str">
        <f>"70587"</f>
        <v>70587</v>
      </c>
      <c r="B1339" s="14" t="s">
        <v>1683</v>
      </c>
      <c r="C1339" s="13" t="str">
        <f>"24.5"</f>
        <v>24.5</v>
      </c>
      <c r="D1339" s="32">
        <f>(C1339*1.24778761061)+(0.4)</f>
        <v>30.970796459944999</v>
      </c>
      <c r="E1339" s="33">
        <f>(C1339*1.16814159292)+(-1)</f>
        <v>27.619469026540003</v>
      </c>
      <c r="F1339" s="33">
        <f>(C1339*1.1238938053)+(-4.4)</f>
        <v>23.135398229850004</v>
      </c>
      <c r="G1339" s="33">
        <f>(C1339*1.06194690265)+(-5.9)</f>
        <v>20.117699114924996</v>
      </c>
      <c r="H1339" s="34">
        <f>(C1339*1.19469026548)+(0)</f>
        <v>29.269911504260001</v>
      </c>
      <c r="I1339" s="34">
        <f>(C1339*1.16814159292)+(-2)</f>
        <v>26.619469026540003</v>
      </c>
      <c r="J1339" s="34">
        <f>(C1339*1.1238938053)+(-3.9)</f>
        <v>23.635398229850004</v>
      </c>
      <c r="K1339" s="34">
        <f>(C1339*1.07964601769)+(-5.6)</f>
        <v>20.851327433405004</v>
      </c>
    </row>
    <row r="1340" spans="1:11" s="21" customFormat="1" ht="19.95" customHeight="1" x14ac:dyDescent="0.25">
      <c r="A1340" s="13" t="str">
        <f>"1006316"</f>
        <v>1006316</v>
      </c>
      <c r="B1340" s="14" t="s">
        <v>1684</v>
      </c>
      <c r="C1340" s="13" t="str">
        <f>"27.4"</f>
        <v>27.4</v>
      </c>
      <c r="D1340" s="32">
        <f>(C1340*1.24778761061)+(0.4)</f>
        <v>34.589380530714003</v>
      </c>
      <c r="E1340" s="33">
        <f>(C1340*1.16814159292)+(-1)</f>
        <v>31.007079646008002</v>
      </c>
      <c r="F1340" s="33">
        <f>(C1340*1.1238938053)+(-4.4)</f>
        <v>26.39469026522</v>
      </c>
      <c r="G1340" s="33">
        <f>(C1340*1.06194690265)+(-5.9)</f>
        <v>23.197345132609996</v>
      </c>
      <c r="H1340" s="34">
        <f>(C1340*1.19469026548)+(0)</f>
        <v>32.734513274152</v>
      </c>
      <c r="I1340" s="34">
        <f>(C1340*1.16814159292)+(-2)</f>
        <v>30.007079646008002</v>
      </c>
      <c r="J1340" s="34">
        <f>(C1340*1.1238938053)+(-3.9)</f>
        <v>26.89469026522</v>
      </c>
      <c r="K1340" s="34">
        <f>(C1340*1.07964601769)+(-5.6)</f>
        <v>23.982300884706</v>
      </c>
    </row>
    <row r="1341" spans="1:11" s="21" customFormat="1" ht="19.95" customHeight="1" x14ac:dyDescent="0.25">
      <c r="A1341" s="13" t="str">
        <f>"1006317"</f>
        <v>1006317</v>
      </c>
      <c r="B1341" s="14" t="s">
        <v>1685</v>
      </c>
      <c r="C1341" s="13" t="str">
        <f>"11.4"</f>
        <v>11.4</v>
      </c>
      <c r="D1341" s="32">
        <f>(C1341*1.24778761061)+(0.4)</f>
        <v>14.624778760954001</v>
      </c>
      <c r="E1341" s="33">
        <f>(C1341*1.16814159292)+(-1)</f>
        <v>12.316814159288</v>
      </c>
      <c r="F1341" s="33">
        <f>(C1341*1.1238938053)+(-4.4)</f>
        <v>8.4123893804200005</v>
      </c>
      <c r="G1341" s="33">
        <f>(C1341*1.06194690265)+(-5.9)</f>
        <v>6.2061946902099994</v>
      </c>
      <c r="H1341" s="34">
        <f>(C1341*1.19469026548)+(0)</f>
        <v>13.619469026472</v>
      </c>
      <c r="I1341" s="34">
        <f>(C1341*1.16814159292)+(-2)</f>
        <v>11.316814159288</v>
      </c>
      <c r="J1341" s="34">
        <f>(C1341*1.1238938053)+(-3.9)</f>
        <v>8.9123893804200005</v>
      </c>
      <c r="K1341" s="34">
        <f>(C1341*1.07964601769)+(-5.6)</f>
        <v>6.7079646016660011</v>
      </c>
    </row>
    <row r="1342" spans="1:11" s="21" customFormat="1" ht="19.95" customHeight="1" x14ac:dyDescent="0.25">
      <c r="A1342" s="13" t="str">
        <f>"16963"</f>
        <v>16963</v>
      </c>
      <c r="B1342" s="14" t="s">
        <v>1686</v>
      </c>
      <c r="C1342" s="13" t="str">
        <f>"30.1"</f>
        <v>30.1</v>
      </c>
      <c r="D1342" s="32">
        <f>(C1342*1.24778761061)+(0.4)</f>
        <v>37.958407079361002</v>
      </c>
      <c r="E1342" s="33">
        <f>(C1342*1.16814159292)+(-1)</f>
        <v>34.161061946892005</v>
      </c>
      <c r="F1342" s="33">
        <f>(C1342*1.1238938053)+(-4.4)</f>
        <v>29.429203539530008</v>
      </c>
      <c r="G1342" s="33">
        <f>(C1342*1.06194690265)+(-5.9)</f>
        <v>26.064601769764998</v>
      </c>
      <c r="H1342" s="34">
        <f>(C1342*1.19469026548)+(0)</f>
        <v>35.960176990948</v>
      </c>
      <c r="I1342" s="34">
        <f>(C1342*1.16814159292)+(-2)</f>
        <v>33.161061946892005</v>
      </c>
      <c r="J1342" s="34">
        <f>(C1342*1.1238938053)+(-3.9)</f>
        <v>29.929203539530008</v>
      </c>
      <c r="K1342" s="34">
        <f>(C1342*1.07964601769)+(-5.6)</f>
        <v>26.897345132468999</v>
      </c>
    </row>
    <row r="1343" spans="1:11" s="21" customFormat="1" ht="19.95" customHeight="1" x14ac:dyDescent="0.25">
      <c r="A1343" s="13" t="str">
        <f>"1008754"</f>
        <v>1008754</v>
      </c>
      <c r="B1343" s="14" t="s">
        <v>1687</v>
      </c>
      <c r="C1343" s="13" t="str">
        <f>"21.7"</f>
        <v>21.7</v>
      </c>
      <c r="D1343" s="32">
        <f>(C1343*1.24778761061)+(0.4)</f>
        <v>27.476991150237001</v>
      </c>
      <c r="E1343" s="33">
        <f>(C1343*1.16814159292)+(-1)</f>
        <v>24.348672566364002</v>
      </c>
      <c r="F1343" s="33">
        <f>(C1343*1.1238938053)+(-4.4)</f>
        <v>19.988495575009999</v>
      </c>
      <c r="G1343" s="33">
        <f>(C1343*1.06194690265)+(-5.9)</f>
        <v>17.144247787504995</v>
      </c>
      <c r="H1343" s="34">
        <f>(C1343*1.19469026548)+(0)</f>
        <v>25.924778760915999</v>
      </c>
      <c r="I1343" s="34">
        <f>(C1343*1.16814159292)+(-2)</f>
        <v>23.348672566364002</v>
      </c>
      <c r="J1343" s="34">
        <f>(C1343*1.1238938053)+(-3.9)</f>
        <v>20.488495575010003</v>
      </c>
      <c r="K1343" s="34">
        <f>(C1343*1.07964601769)+(-5.6)</f>
        <v>17.828318583872999</v>
      </c>
    </row>
    <row r="1344" spans="1:11" s="21" customFormat="1" ht="19.95" customHeight="1" x14ac:dyDescent="0.25">
      <c r="A1344" s="13" t="str">
        <f>"75126"</f>
        <v>75126</v>
      </c>
      <c r="B1344" s="14" t="s">
        <v>1688</v>
      </c>
      <c r="C1344" s="13" t="str">
        <f>"21.2"</f>
        <v>21.2</v>
      </c>
      <c r="D1344" s="32">
        <f>(C1344*1.24778761061)+(0.4)</f>
        <v>26.853097344931999</v>
      </c>
      <c r="E1344" s="33">
        <f>(C1344*1.16814159292)+(-1)</f>
        <v>23.764601769904001</v>
      </c>
      <c r="F1344" s="33">
        <f>(C1344*1.1238938053)+(-4.4)</f>
        <v>19.426548672359999</v>
      </c>
      <c r="G1344" s="33">
        <f>(C1344*1.06194690265)+(-5.9)</f>
        <v>16.613274336179998</v>
      </c>
      <c r="H1344" s="34">
        <f>(C1344*1.19469026548)+(0)</f>
        <v>25.327433628175999</v>
      </c>
      <c r="I1344" s="34">
        <f>(C1344*1.16814159292)+(-2)</f>
        <v>22.764601769904001</v>
      </c>
      <c r="J1344" s="34">
        <f>(C1344*1.1238938053)+(-3.9)</f>
        <v>19.926548672360003</v>
      </c>
      <c r="K1344" s="34">
        <f>(C1344*1.07964601769)+(-5.6)</f>
        <v>17.288495575028001</v>
      </c>
    </row>
    <row r="1345" spans="1:11" s="21" customFormat="1" ht="19.95" customHeight="1" x14ac:dyDescent="0.25">
      <c r="A1345" s="13" t="str">
        <f>"15805"</f>
        <v>15805</v>
      </c>
      <c r="B1345" s="14" t="s">
        <v>1689</v>
      </c>
      <c r="C1345" s="13" t="str">
        <f>"17.2"</f>
        <v>17.2</v>
      </c>
      <c r="D1345" s="32">
        <f>(C1345*1.24778761061)+(0.4)</f>
        <v>21.861946902492001</v>
      </c>
      <c r="E1345" s="33">
        <f>(C1345*1.16814159292)+(-1)</f>
        <v>19.092035398224002</v>
      </c>
      <c r="F1345" s="33">
        <f>(C1345*1.1238938053)+(-4.4)</f>
        <v>14.930973451159998</v>
      </c>
      <c r="G1345" s="33">
        <f>(C1345*1.06194690265)+(-5.9)</f>
        <v>12.365486725579997</v>
      </c>
      <c r="H1345" s="34">
        <f>(C1345*1.19469026548)+(0)</f>
        <v>20.548672566255998</v>
      </c>
      <c r="I1345" s="34">
        <f>(C1345*1.16814159292)+(-2)</f>
        <v>18.092035398224002</v>
      </c>
      <c r="J1345" s="34">
        <f>(C1345*1.1238938053)+(-3.9)</f>
        <v>15.430973451159998</v>
      </c>
      <c r="K1345" s="34">
        <f>(C1345*1.07964601769)+(-5.6)</f>
        <v>12.969911504268</v>
      </c>
    </row>
    <row r="1346" spans="1:11" s="21" customFormat="1" ht="19.95" customHeight="1" x14ac:dyDescent="0.25">
      <c r="A1346" s="13" t="str">
        <f>"16967"</f>
        <v>16967</v>
      </c>
      <c r="B1346" s="14" t="s">
        <v>1690</v>
      </c>
      <c r="C1346" s="13" t="str">
        <f>"13.5"</f>
        <v>13.5</v>
      </c>
      <c r="D1346" s="32">
        <f>(C1346*1.24778761061)+(0.4)</f>
        <v>17.245132743235001</v>
      </c>
      <c r="E1346" s="33">
        <f>(C1346*1.16814159292)+(-1)</f>
        <v>14.769911504420001</v>
      </c>
      <c r="F1346" s="33">
        <f>(C1346*1.1238938053)+(-4.4)</f>
        <v>10.772566371550001</v>
      </c>
      <c r="G1346" s="33">
        <f>(C1346*1.06194690265)+(-5.9)</f>
        <v>8.4362831857749985</v>
      </c>
      <c r="H1346" s="34">
        <f>(C1346*1.19469026548)+(0)</f>
        <v>16.128318583980001</v>
      </c>
      <c r="I1346" s="34">
        <f>(C1346*1.16814159292)+(-2)</f>
        <v>13.769911504420001</v>
      </c>
      <c r="J1346" s="34">
        <f>(C1346*1.1238938053)+(-3.9)</f>
        <v>11.272566371550001</v>
      </c>
      <c r="K1346" s="34">
        <f>(C1346*1.07964601769)+(-5.6)</f>
        <v>8.975221238815001</v>
      </c>
    </row>
    <row r="1347" spans="1:11" s="21" customFormat="1" ht="19.95" customHeight="1" x14ac:dyDescent="0.25">
      <c r="A1347" s="13" t="str">
        <f>"1000189"</f>
        <v>1000189</v>
      </c>
      <c r="B1347" s="14" t="s">
        <v>1691</v>
      </c>
      <c r="C1347" s="13" t="str">
        <f>"24.9"</f>
        <v>24.9</v>
      </c>
      <c r="D1347" s="32">
        <f>(C1347*1.24778761061)+(0.4)</f>
        <v>31.469911504189</v>
      </c>
      <c r="E1347" s="33">
        <f>(C1347*1.16814159292)+(-1)</f>
        <v>28.086725663708002</v>
      </c>
      <c r="F1347" s="33">
        <f>(C1347*1.1238938053)+(-4.4)</f>
        <v>23.58495575197</v>
      </c>
      <c r="G1347" s="33">
        <f>(C1347*1.06194690265)+(-5.9)</f>
        <v>20.542477875984993</v>
      </c>
      <c r="H1347" s="34">
        <f>(C1347*1.19469026548)+(0)</f>
        <v>29.747787610451997</v>
      </c>
      <c r="I1347" s="34">
        <f>(C1347*1.16814159292)+(-2)</f>
        <v>27.086725663708002</v>
      </c>
      <c r="J1347" s="34">
        <f>(C1347*1.1238938053)+(-3.9)</f>
        <v>24.08495575197</v>
      </c>
      <c r="K1347" s="34">
        <f>(C1347*1.07964601769)+(-5.6)</f>
        <v>21.283185840480996</v>
      </c>
    </row>
    <row r="1348" spans="1:11" s="21" customFormat="1" ht="19.95" customHeight="1" x14ac:dyDescent="0.25">
      <c r="A1348" s="13" t="str">
        <f>"16973"</f>
        <v>16973</v>
      </c>
      <c r="B1348" s="14" t="s">
        <v>1692</v>
      </c>
      <c r="C1348" s="13" t="str">
        <f>"19.2"</f>
        <v>19.2</v>
      </c>
      <c r="D1348" s="32">
        <f>(C1348*1.24778761061)+(0.4)</f>
        <v>24.357522123711998</v>
      </c>
      <c r="E1348" s="33">
        <f>(C1348*1.16814159292)+(-1)</f>
        <v>21.428318584064002</v>
      </c>
      <c r="F1348" s="33">
        <f>(C1348*1.1238938053)+(-4.4)</f>
        <v>17.17876106176</v>
      </c>
      <c r="G1348" s="33">
        <f>(C1348*1.06194690265)+(-5.9)</f>
        <v>14.489380530879997</v>
      </c>
      <c r="H1348" s="34">
        <f>(C1348*1.19469026548)+(0)</f>
        <v>22.938053097215999</v>
      </c>
      <c r="I1348" s="34">
        <f>(C1348*1.16814159292)+(-2)</f>
        <v>20.428318584064002</v>
      </c>
      <c r="J1348" s="34">
        <f>(C1348*1.1238938053)+(-3.9)</f>
        <v>17.678761061760003</v>
      </c>
      <c r="K1348" s="34">
        <f>(C1348*1.07964601769)+(-5.6)</f>
        <v>15.129203539648001</v>
      </c>
    </row>
    <row r="1349" spans="1:11" s="21" customFormat="1" ht="19.95" customHeight="1" x14ac:dyDescent="0.25">
      <c r="A1349" s="13" t="str">
        <f>"66835"</f>
        <v>66835</v>
      </c>
      <c r="B1349" s="14" t="s">
        <v>1693</v>
      </c>
      <c r="C1349" s="13" t="str">
        <f>"17.7"</f>
        <v>17.7</v>
      </c>
      <c r="D1349" s="32">
        <f>(C1349*1.24778761061)+(0.4)</f>
        <v>22.485840707796999</v>
      </c>
      <c r="E1349" s="33">
        <f>(C1349*1.16814159292)+(-1)</f>
        <v>19.676106194683999</v>
      </c>
      <c r="F1349" s="33">
        <f>(C1349*1.1238938053)+(-4.4)</f>
        <v>15.492920353809998</v>
      </c>
      <c r="G1349" s="33">
        <f>(C1349*1.06194690265)+(-5.9)</f>
        <v>12.896460176904997</v>
      </c>
      <c r="H1349" s="34">
        <f>(C1349*1.19469026548)+(0)</f>
        <v>21.146017698996001</v>
      </c>
      <c r="I1349" s="34">
        <f>(C1349*1.16814159292)+(-2)</f>
        <v>18.676106194683999</v>
      </c>
      <c r="J1349" s="34">
        <f>(C1349*1.1238938053)+(-3.9)</f>
        <v>15.992920353809998</v>
      </c>
      <c r="K1349" s="34">
        <f>(C1349*1.07964601769)+(-5.6)</f>
        <v>13.509734513113001</v>
      </c>
    </row>
    <row r="1350" spans="1:11" s="21" customFormat="1" ht="19.95" customHeight="1" x14ac:dyDescent="0.25">
      <c r="A1350" s="13" t="str">
        <f>"16974"</f>
        <v>16974</v>
      </c>
      <c r="B1350" s="14" t="s">
        <v>1694</v>
      </c>
      <c r="C1350" s="13" t="str">
        <f>"20.4"</f>
        <v>20.4</v>
      </c>
      <c r="D1350" s="32">
        <f>(C1350*1.24778761061)+(0.4)</f>
        <v>25.854867256443999</v>
      </c>
      <c r="E1350" s="33">
        <f>(C1350*1.16814159292)+(-1)</f>
        <v>22.830088495567999</v>
      </c>
      <c r="F1350" s="33">
        <f>(C1350*1.1238938053)+(-4.4)</f>
        <v>18.527433628120001</v>
      </c>
      <c r="G1350" s="33">
        <f>(C1350*1.06194690265)+(-5.9)</f>
        <v>15.763716814059995</v>
      </c>
      <c r="H1350" s="34">
        <f>(C1350*1.19469026548)+(0)</f>
        <v>24.371681415791997</v>
      </c>
      <c r="I1350" s="34">
        <f>(C1350*1.16814159292)+(-2)</f>
        <v>21.830088495567999</v>
      </c>
      <c r="J1350" s="34">
        <f>(C1350*1.1238938053)+(-3.9)</f>
        <v>19.027433628120001</v>
      </c>
      <c r="K1350" s="34">
        <f>(C1350*1.07964601769)+(-5.6)</f>
        <v>16.424778760876002</v>
      </c>
    </row>
    <row r="1351" spans="1:11" s="21" customFormat="1" ht="19.95" customHeight="1" x14ac:dyDescent="0.25">
      <c r="A1351" s="13" t="str">
        <f>"16978"</f>
        <v>16978</v>
      </c>
      <c r="B1351" s="14" t="s">
        <v>1695</v>
      </c>
      <c r="C1351" s="13" t="str">
        <f>"20.4"</f>
        <v>20.4</v>
      </c>
      <c r="D1351" s="32">
        <f>(C1351*1.24778761061)+(0.4)</f>
        <v>25.854867256443999</v>
      </c>
      <c r="E1351" s="33">
        <f>(C1351*1.16814159292)+(-1)</f>
        <v>22.830088495567999</v>
      </c>
      <c r="F1351" s="33">
        <f>(C1351*1.1238938053)+(-4.4)</f>
        <v>18.527433628120001</v>
      </c>
      <c r="G1351" s="33">
        <f>(C1351*1.06194690265)+(-5.9)</f>
        <v>15.763716814059995</v>
      </c>
      <c r="H1351" s="34">
        <f>(C1351*1.19469026548)+(0)</f>
        <v>24.371681415791997</v>
      </c>
      <c r="I1351" s="34">
        <f>(C1351*1.16814159292)+(-2)</f>
        <v>21.830088495567999</v>
      </c>
      <c r="J1351" s="34">
        <f>(C1351*1.1238938053)+(-3.9)</f>
        <v>19.027433628120001</v>
      </c>
      <c r="K1351" s="34">
        <f>(C1351*1.07964601769)+(-5.6)</f>
        <v>16.424778760876002</v>
      </c>
    </row>
    <row r="1352" spans="1:11" s="21" customFormat="1" ht="19.95" customHeight="1" x14ac:dyDescent="0.25">
      <c r="A1352" s="13" t="str">
        <f>"36812"</f>
        <v>36812</v>
      </c>
      <c r="B1352" s="14" t="s">
        <v>1696</v>
      </c>
      <c r="C1352" s="13" t="str">
        <f>"16.2"</f>
        <v>16.2</v>
      </c>
      <c r="D1352" s="32">
        <f>(C1352*1.24778761061)+(0.4)</f>
        <v>20.614159291882</v>
      </c>
      <c r="E1352" s="33">
        <f>(C1352*1.16814159292)+(-1)</f>
        <v>17.923893805304001</v>
      </c>
      <c r="F1352" s="33">
        <f>(C1352*1.1238938053)+(-4.4)</f>
        <v>13.807079645859998</v>
      </c>
      <c r="G1352" s="33">
        <f>(C1352*1.06194690265)+(-5.9)</f>
        <v>11.303539822929997</v>
      </c>
      <c r="H1352" s="34">
        <f>(C1352*1.19469026548)+(0)</f>
        <v>19.353982300776</v>
      </c>
      <c r="I1352" s="34">
        <f>(C1352*1.16814159292)+(-2)</f>
        <v>16.923893805304001</v>
      </c>
      <c r="J1352" s="34">
        <f>(C1352*1.1238938053)+(-3.9)</f>
        <v>14.307079645859998</v>
      </c>
      <c r="K1352" s="34">
        <f>(C1352*1.07964601769)+(-5.6)</f>
        <v>11.890265486578</v>
      </c>
    </row>
    <row r="1353" spans="1:11" s="21" customFormat="1" ht="19.95" customHeight="1" x14ac:dyDescent="0.25">
      <c r="A1353" s="13" t="str">
        <f>"43797"</f>
        <v>43797</v>
      </c>
      <c r="B1353" s="14" t="s">
        <v>1697</v>
      </c>
      <c r="C1353" s="13" t="str">
        <f>"1.0"</f>
        <v>1.0</v>
      </c>
      <c r="D1353" s="32">
        <f>(C1353*1.24778761061)+(0.4)</f>
        <v>1.64778761061</v>
      </c>
      <c r="E1353" s="33">
        <f>(C1353*1.16814159292)+(-1)</f>
        <v>0.16814159292000008</v>
      </c>
      <c r="F1353" s="33">
        <f>(C1353*1.1238938053)+(-4.4)</f>
        <v>-3.2761061947000005</v>
      </c>
      <c r="G1353" s="33">
        <f>(C1353*1.06194690265)+(-5.9)</f>
        <v>-4.8380530973500004</v>
      </c>
      <c r="H1353" s="34">
        <f>(C1353*1.19469026548)+(0)</f>
        <v>1.19469026548</v>
      </c>
      <c r="I1353" s="34">
        <f>(C1353*1.16814159292)+(-2)</f>
        <v>-0.83185840707999992</v>
      </c>
      <c r="J1353" s="34">
        <f>(C1353*1.1238938053)+(-3.9)</f>
        <v>-2.7761061946999996</v>
      </c>
      <c r="K1353" s="34">
        <f>(C1353*1.07964601769)+(-5.6)</f>
        <v>-4.5203539823099996</v>
      </c>
    </row>
    <row r="1354" spans="1:11" s="21" customFormat="1" ht="19.95" customHeight="1" x14ac:dyDescent="0.25">
      <c r="A1354" s="13" t="str">
        <f>"16979"</f>
        <v>16979</v>
      </c>
      <c r="B1354" s="14" t="s">
        <v>1698</v>
      </c>
      <c r="C1354" s="13" t="str">
        <f>"17.2"</f>
        <v>17.2</v>
      </c>
      <c r="D1354" s="32">
        <f>(C1354*1.24778761061)+(0.4)</f>
        <v>21.861946902492001</v>
      </c>
      <c r="E1354" s="33">
        <f>(C1354*1.16814159292)+(-1)</f>
        <v>19.092035398224002</v>
      </c>
      <c r="F1354" s="33">
        <f>(C1354*1.1238938053)+(-4.4)</f>
        <v>14.930973451159998</v>
      </c>
      <c r="G1354" s="33">
        <f>(C1354*1.06194690265)+(-5.9)</f>
        <v>12.365486725579997</v>
      </c>
      <c r="H1354" s="34">
        <f>(C1354*1.19469026548)+(0)</f>
        <v>20.548672566255998</v>
      </c>
      <c r="I1354" s="34">
        <f>(C1354*1.16814159292)+(-2)</f>
        <v>18.092035398224002</v>
      </c>
      <c r="J1354" s="34">
        <f>(C1354*1.1238938053)+(-3.9)</f>
        <v>15.430973451159998</v>
      </c>
      <c r="K1354" s="34">
        <f>(C1354*1.07964601769)+(-5.6)</f>
        <v>12.969911504268</v>
      </c>
    </row>
    <row r="1355" spans="1:11" s="21" customFormat="1" ht="19.95" customHeight="1" x14ac:dyDescent="0.25">
      <c r="A1355" s="13" t="str">
        <f>"16981"</f>
        <v>16981</v>
      </c>
      <c r="B1355" s="14" t="s">
        <v>1699</v>
      </c>
      <c r="C1355" s="13" t="str">
        <f>"9.5"</f>
        <v>9.5</v>
      </c>
      <c r="D1355" s="32">
        <f>(C1355*1.24778761061)+(0.4)</f>
        <v>12.253982300795002</v>
      </c>
      <c r="E1355" s="33">
        <f>(C1355*1.16814159292)+(-1)</f>
        <v>10.097345132740001</v>
      </c>
      <c r="F1355" s="33">
        <f>(C1355*1.1238938053)+(-4.4)</f>
        <v>6.2769911503499998</v>
      </c>
      <c r="G1355" s="33">
        <f>(C1355*1.06194690265)+(-5.9)</f>
        <v>4.1884955751749988</v>
      </c>
      <c r="H1355" s="34">
        <f>(C1355*1.19469026548)+(0)</f>
        <v>11.34955752206</v>
      </c>
      <c r="I1355" s="34">
        <f>(C1355*1.16814159292)+(-2)</f>
        <v>9.097345132740001</v>
      </c>
      <c r="J1355" s="34">
        <f>(C1355*1.1238938053)+(-3.9)</f>
        <v>6.7769911503499998</v>
      </c>
      <c r="K1355" s="34">
        <f>(C1355*1.07964601769)+(-5.6)</f>
        <v>4.6566371680550009</v>
      </c>
    </row>
    <row r="1356" spans="1:11" s="21" customFormat="1" ht="19.95" customHeight="1" x14ac:dyDescent="0.25">
      <c r="A1356" s="13" t="str">
        <f>"48790"</f>
        <v>48790</v>
      </c>
      <c r="B1356" s="14" t="s">
        <v>1700</v>
      </c>
      <c r="C1356" s="13" t="str">
        <f>"25.7"</f>
        <v>25.7</v>
      </c>
      <c r="D1356" s="32">
        <f>(C1356*1.24778761061)+(0.4)</f>
        <v>32.468141592677</v>
      </c>
      <c r="E1356" s="33">
        <f>(C1356*1.16814159292)+(-1)</f>
        <v>29.021238938044</v>
      </c>
      <c r="F1356" s="33">
        <f>(C1356*1.1238938053)+(-4.4)</f>
        <v>24.484070796209998</v>
      </c>
      <c r="G1356" s="33">
        <f>(C1356*1.06194690265)+(-5.9)</f>
        <v>21.392035398104994</v>
      </c>
      <c r="H1356" s="34">
        <f>(C1356*1.19469026548)+(0)</f>
        <v>30.703539822835999</v>
      </c>
      <c r="I1356" s="34">
        <f>(C1356*1.16814159292)+(-2)</f>
        <v>28.021238938044</v>
      </c>
      <c r="J1356" s="34">
        <f>(C1356*1.1238938053)+(-3.9)</f>
        <v>24.984070796210002</v>
      </c>
      <c r="K1356" s="34">
        <f>(C1356*1.07964601769)+(-5.6)</f>
        <v>22.146902654633003</v>
      </c>
    </row>
    <row r="1357" spans="1:11" s="21" customFormat="1" ht="19.95" customHeight="1" x14ac:dyDescent="0.25">
      <c r="A1357" s="13" t="str">
        <f>"16984"</f>
        <v>16984</v>
      </c>
      <c r="B1357" s="14" t="s">
        <v>1701</v>
      </c>
      <c r="C1357" s="13" t="str">
        <f>"11.0"</f>
        <v>11.0</v>
      </c>
      <c r="D1357" s="32">
        <f>(C1357*1.24778761061)+(0.4)</f>
        <v>14.125663716710001</v>
      </c>
      <c r="E1357" s="33">
        <f>(C1357*1.16814159292)+(-1)</f>
        <v>11.849557522120001</v>
      </c>
      <c r="F1357" s="33">
        <f>(C1357*1.1238938053)+(-4.4)</f>
        <v>7.9628318582999995</v>
      </c>
      <c r="G1357" s="33">
        <f>(C1357*1.06194690265)+(-5.9)</f>
        <v>5.7814159291499987</v>
      </c>
      <c r="H1357" s="34">
        <f>(C1357*1.19469026548)+(0)</f>
        <v>13.141592920280001</v>
      </c>
      <c r="I1357" s="34">
        <f>(C1357*1.16814159292)+(-2)</f>
        <v>10.849557522120001</v>
      </c>
      <c r="J1357" s="34">
        <f>(C1357*1.1238938053)+(-3.9)</f>
        <v>8.4628318582999995</v>
      </c>
      <c r="K1357" s="34">
        <f>(C1357*1.07964601769)+(-5.6)</f>
        <v>6.2761061945900014</v>
      </c>
    </row>
    <row r="1358" spans="1:11" s="21" customFormat="1" ht="19.95" customHeight="1" x14ac:dyDescent="0.25">
      <c r="A1358" s="13" t="str">
        <f>"79528"</f>
        <v>79528</v>
      </c>
      <c r="B1358" s="14" t="s">
        <v>1702</v>
      </c>
      <c r="C1358" s="13" t="str">
        <f>"30.5"</f>
        <v>30.5</v>
      </c>
      <c r="D1358" s="32">
        <f>(C1358*1.24778761061)+(0.4)</f>
        <v>38.457522123605003</v>
      </c>
      <c r="E1358" s="33">
        <f>(C1358*1.16814159292)+(-1)</f>
        <v>34.628318584060004</v>
      </c>
      <c r="F1358" s="33">
        <f>(C1358*1.1238938053)+(-4.4)</f>
        <v>29.878761061650003</v>
      </c>
      <c r="G1358" s="33">
        <f>(C1358*1.06194690265)+(-5.9)</f>
        <v>26.489380530824995</v>
      </c>
      <c r="H1358" s="34">
        <f>(C1358*1.19469026548)+(0)</f>
        <v>36.438053097139999</v>
      </c>
      <c r="I1358" s="34">
        <f>(C1358*1.16814159292)+(-2)</f>
        <v>33.628318584060004</v>
      </c>
      <c r="J1358" s="34">
        <f>(C1358*1.1238938053)+(-3.9)</f>
        <v>30.378761061650003</v>
      </c>
      <c r="K1358" s="34">
        <f>(C1358*1.07964601769)+(-5.6)</f>
        <v>27.329203539544999</v>
      </c>
    </row>
    <row r="1359" spans="1:11" s="21" customFormat="1" ht="19.95" customHeight="1" x14ac:dyDescent="0.25">
      <c r="A1359" s="13" t="str">
        <f>"16988"</f>
        <v>16988</v>
      </c>
      <c r="B1359" s="14" t="s">
        <v>1703</v>
      </c>
      <c r="C1359" s="13" t="str">
        <f>"18.4"</f>
        <v>18.4</v>
      </c>
      <c r="D1359" s="32">
        <f>(C1359*1.24778761061)+(0.4)</f>
        <v>23.359292035223998</v>
      </c>
      <c r="E1359" s="33">
        <f>(C1359*1.16814159292)+(-1)</f>
        <v>20.493805309728</v>
      </c>
      <c r="F1359" s="33">
        <f>(C1359*1.1238938053)+(-4.4)</f>
        <v>16.279646017520001</v>
      </c>
      <c r="G1359" s="33">
        <f>(C1359*1.06194690265)+(-5.9)</f>
        <v>13.639823008759995</v>
      </c>
      <c r="H1359" s="34">
        <f>(C1359*1.19469026548)+(0)</f>
        <v>21.982300884832</v>
      </c>
      <c r="I1359" s="34">
        <f>(C1359*1.16814159292)+(-2)</f>
        <v>19.493805309728</v>
      </c>
      <c r="J1359" s="34">
        <f>(C1359*1.1238938053)+(-3.9)</f>
        <v>16.779646017520001</v>
      </c>
      <c r="K1359" s="34">
        <f>(C1359*1.07964601769)+(-5.6)</f>
        <v>14.265486725495998</v>
      </c>
    </row>
    <row r="1360" spans="1:11" s="21" customFormat="1" ht="19.95" customHeight="1" x14ac:dyDescent="0.25">
      <c r="A1360" s="13" t="str">
        <f>"16989"</f>
        <v>16989</v>
      </c>
      <c r="B1360" s="14" t="s">
        <v>1704</v>
      </c>
      <c r="C1360" s="13" t="str">
        <f>"23.2"</f>
        <v>23.2</v>
      </c>
      <c r="D1360" s="32">
        <f>(C1360*1.24778761061)+(0.4)</f>
        <v>29.348672566152</v>
      </c>
      <c r="E1360" s="33">
        <f>(C1360*1.16814159292)+(-1)</f>
        <v>26.100884955744</v>
      </c>
      <c r="F1360" s="33">
        <f>(C1360*1.1238938053)+(-4.4)</f>
        <v>21.674336282959999</v>
      </c>
      <c r="G1360" s="33">
        <f>(C1360*1.06194690265)+(-5.9)</f>
        <v>18.737168141479998</v>
      </c>
      <c r="H1360" s="34">
        <f>(C1360*1.19469026548)+(0)</f>
        <v>27.716814159136</v>
      </c>
      <c r="I1360" s="34">
        <f>(C1360*1.16814159292)+(-2)</f>
        <v>25.100884955744</v>
      </c>
      <c r="J1360" s="34">
        <f>(C1360*1.1238938053)+(-3.9)</f>
        <v>22.174336282960002</v>
      </c>
      <c r="K1360" s="34">
        <f>(C1360*1.07964601769)+(-5.6)</f>
        <v>19.447787610408</v>
      </c>
    </row>
    <row r="1361" spans="1:11" s="21" customFormat="1" ht="19.95" customHeight="1" x14ac:dyDescent="0.25">
      <c r="A1361" s="13" t="str">
        <f>"16990"</f>
        <v>16990</v>
      </c>
      <c r="B1361" s="14" t="s">
        <v>1705</v>
      </c>
      <c r="C1361" s="13" t="str">
        <f>"22.0"</f>
        <v>22.0</v>
      </c>
      <c r="D1361" s="32">
        <f>(C1361*1.24778761061)+(0.4)</f>
        <v>27.85132743342</v>
      </c>
      <c r="E1361" s="33">
        <f>(C1361*1.16814159292)+(-1)</f>
        <v>24.699115044240003</v>
      </c>
      <c r="F1361" s="33">
        <f>(C1361*1.1238938053)+(-4.4)</f>
        <v>20.325663716599998</v>
      </c>
      <c r="G1361" s="33">
        <f>(C1361*1.06194690265)+(-5.9)</f>
        <v>17.4628318583</v>
      </c>
      <c r="H1361" s="34">
        <f>(C1361*1.19469026548)+(0)</f>
        <v>26.283185840560002</v>
      </c>
      <c r="I1361" s="34">
        <f>(C1361*1.16814159292)+(-2)</f>
        <v>23.699115044240003</v>
      </c>
      <c r="J1361" s="34">
        <f>(C1361*1.1238938053)+(-3.9)</f>
        <v>20.825663716600001</v>
      </c>
      <c r="K1361" s="34">
        <f>(C1361*1.07964601769)+(-5.6)</f>
        <v>18.152212389180001</v>
      </c>
    </row>
    <row r="1362" spans="1:11" s="21" customFormat="1" ht="19.95" customHeight="1" x14ac:dyDescent="0.25">
      <c r="A1362" s="13" t="str">
        <f>"16991"</f>
        <v>16991</v>
      </c>
      <c r="B1362" s="14" t="s">
        <v>1706</v>
      </c>
      <c r="C1362" s="13" t="str">
        <f>"31.6"</f>
        <v>31.6</v>
      </c>
      <c r="D1362" s="32">
        <f>(C1362*1.24778761061)+(0.4)</f>
        <v>39.830088495276001</v>
      </c>
      <c r="E1362" s="33">
        <f>(C1362*1.16814159292)+(-1)</f>
        <v>35.913274336272003</v>
      </c>
      <c r="F1362" s="33">
        <f>(C1362*1.1238938053)+(-4.4)</f>
        <v>31.115044247480007</v>
      </c>
      <c r="G1362" s="33">
        <f>(C1362*1.06194690265)+(-5.9)</f>
        <v>27.657522123740002</v>
      </c>
      <c r="H1362" s="34">
        <f>(C1362*1.19469026548)+(0)</f>
        <v>37.752212389168001</v>
      </c>
      <c r="I1362" s="34">
        <f>(C1362*1.16814159292)+(-2)</f>
        <v>34.913274336272003</v>
      </c>
      <c r="J1362" s="34">
        <f>(C1362*1.1238938053)+(-3.9)</f>
        <v>31.615044247480007</v>
      </c>
      <c r="K1362" s="34">
        <f>(C1362*1.07964601769)+(-5.6)</f>
        <v>28.516814159003999</v>
      </c>
    </row>
    <row r="1363" spans="1:11" s="21" customFormat="1" ht="19.95" customHeight="1" x14ac:dyDescent="0.25">
      <c r="A1363" s="13" t="str">
        <f>"16993"</f>
        <v>16993</v>
      </c>
      <c r="B1363" s="14" t="s">
        <v>1707</v>
      </c>
      <c r="C1363" s="13" t="str">
        <f>"20.8"</f>
        <v>20.8</v>
      </c>
      <c r="D1363" s="32">
        <f>(C1363*1.24778761061)+(0.4)</f>
        <v>26.353982300688003</v>
      </c>
      <c r="E1363" s="33">
        <f>(C1363*1.16814159292)+(-1)</f>
        <v>23.297345132736002</v>
      </c>
      <c r="F1363" s="33">
        <f>(C1363*1.1238938053)+(-4.4)</f>
        <v>18.976991150240003</v>
      </c>
      <c r="G1363" s="33">
        <f>(C1363*1.06194690265)+(-5.9)</f>
        <v>16.188495575120001</v>
      </c>
      <c r="H1363" s="34">
        <f>(C1363*1.19469026548)+(0)</f>
        <v>24.849557521984</v>
      </c>
      <c r="I1363" s="34">
        <f>(C1363*1.16814159292)+(-2)</f>
        <v>22.297345132736002</v>
      </c>
      <c r="J1363" s="34">
        <f>(C1363*1.1238938053)+(-3.9)</f>
        <v>19.476991150240003</v>
      </c>
      <c r="K1363" s="34">
        <f>(C1363*1.07964601769)+(-5.6)</f>
        <v>16.856637167952002</v>
      </c>
    </row>
    <row r="1364" spans="1:11" s="21" customFormat="1" ht="19.95" customHeight="1" x14ac:dyDescent="0.25">
      <c r="A1364" s="13" t="str">
        <f>"48000"</f>
        <v>48000</v>
      </c>
      <c r="B1364" s="14" t="s">
        <v>1708</v>
      </c>
      <c r="C1364" s="13" t="str">
        <f>"19.8"</f>
        <v>19.8</v>
      </c>
      <c r="D1364" s="32">
        <f>(C1364*1.24778761061)+(0.4)</f>
        <v>25.106194690078002</v>
      </c>
      <c r="E1364" s="33">
        <f>(C1364*1.16814159292)+(-1)</f>
        <v>22.129203539816004</v>
      </c>
      <c r="F1364" s="33">
        <f>(C1364*1.1238938053)+(-4.4)</f>
        <v>17.853097344940004</v>
      </c>
      <c r="G1364" s="33">
        <f>(C1364*1.06194690265)+(-5.9)</f>
        <v>15.126548672469999</v>
      </c>
      <c r="H1364" s="34">
        <f>(C1364*1.19469026548)+(0)</f>
        <v>23.654867256504001</v>
      </c>
      <c r="I1364" s="34">
        <f>(C1364*1.16814159292)+(-2)</f>
        <v>21.129203539816004</v>
      </c>
      <c r="J1364" s="34">
        <f>(C1364*1.1238938053)+(-3.9)</f>
        <v>18.353097344940004</v>
      </c>
      <c r="K1364" s="34">
        <f>(C1364*1.07964601769)+(-5.6)</f>
        <v>15.776991150262001</v>
      </c>
    </row>
    <row r="1365" spans="1:11" ht="19.95" customHeight="1" x14ac:dyDescent="0.25">
      <c r="A1365" s="13" t="str">
        <f>"16994"</f>
        <v>16994</v>
      </c>
      <c r="B1365" s="14" t="s">
        <v>1709</v>
      </c>
      <c r="C1365" s="13" t="str">
        <f>"16.2"</f>
        <v>16.2</v>
      </c>
      <c r="D1365" s="32">
        <f>(C1365*1.24778761061)+(0.4)</f>
        <v>20.614159291882</v>
      </c>
      <c r="E1365" s="33">
        <f>(C1365*1.16814159292)+(-1)</f>
        <v>17.923893805304001</v>
      </c>
      <c r="F1365" s="33">
        <f>(C1365*1.1238938053)+(-4.4)</f>
        <v>13.807079645859998</v>
      </c>
      <c r="G1365" s="33">
        <f>(C1365*1.06194690265)+(-5.9)</f>
        <v>11.303539822929997</v>
      </c>
      <c r="H1365" s="34">
        <f>(C1365*1.19469026548)+(0)</f>
        <v>19.353982300776</v>
      </c>
      <c r="I1365" s="34">
        <f>(C1365*1.16814159292)+(-2)</f>
        <v>16.923893805304001</v>
      </c>
      <c r="J1365" s="34">
        <f>(C1365*1.1238938053)+(-3.9)</f>
        <v>14.307079645859998</v>
      </c>
      <c r="K1365" s="34">
        <f>(C1365*1.07964601769)+(-5.6)</f>
        <v>11.890265486578</v>
      </c>
    </row>
    <row r="1366" spans="1:11" ht="19.95" customHeight="1" x14ac:dyDescent="0.25">
      <c r="A1366" s="13" t="str">
        <f>"16996"</f>
        <v>16996</v>
      </c>
      <c r="B1366" s="14" t="s">
        <v>1710</v>
      </c>
      <c r="C1366" s="13" t="str">
        <f>"25.0"</f>
        <v>25.0</v>
      </c>
      <c r="D1366" s="32">
        <f>(C1366*1.24778761061)+(0.4)</f>
        <v>31.594690265250001</v>
      </c>
      <c r="E1366" s="33">
        <f>(C1366*1.16814159292)+(-1)</f>
        <v>28.203539823000003</v>
      </c>
      <c r="F1366" s="33">
        <f>(C1366*1.1238938053)+(-4.4)</f>
        <v>23.697345132500004</v>
      </c>
      <c r="G1366" s="33">
        <f>(C1366*1.06194690265)+(-5.9)</f>
        <v>20.648672566249999</v>
      </c>
      <c r="H1366" s="34">
        <f>(C1366*1.19469026548)+(0)</f>
        <v>29.867256637000001</v>
      </c>
      <c r="I1366" s="34">
        <f>(C1366*1.16814159292)+(-2)</f>
        <v>27.203539823000003</v>
      </c>
      <c r="J1366" s="34">
        <f>(C1366*1.1238938053)+(-3.9)</f>
        <v>24.197345132500004</v>
      </c>
      <c r="K1366" s="34">
        <f>(C1366*1.07964601769)+(-5.6)</f>
        <v>21.391150442250002</v>
      </c>
    </row>
    <row r="1367" spans="1:11" ht="19.95" customHeight="1" x14ac:dyDescent="0.25">
      <c r="A1367" s="13" t="str">
        <f>"16997"</f>
        <v>16997</v>
      </c>
      <c r="B1367" s="14" t="s">
        <v>1711</v>
      </c>
      <c r="C1367" s="13" t="str">
        <f>"15.1"</f>
        <v>15.1</v>
      </c>
      <c r="D1367" s="32">
        <f>(C1367*1.24778761061)+(0.4)</f>
        <v>19.241592920210998</v>
      </c>
      <c r="E1367" s="33">
        <f>(C1367*1.16814159292)+(-1)</f>
        <v>16.638938053092001</v>
      </c>
      <c r="F1367" s="33">
        <f>(C1367*1.1238938053)+(-4.4)</f>
        <v>12.570796460030001</v>
      </c>
      <c r="G1367" s="33">
        <f>(C1367*1.06194690265)+(-5.9)</f>
        <v>10.135398230014998</v>
      </c>
      <c r="H1367" s="34">
        <f>(C1367*1.19469026548)+(0)</f>
        <v>18.039823008747998</v>
      </c>
      <c r="I1367" s="34">
        <f>(C1367*1.16814159292)+(-2)</f>
        <v>15.638938053092001</v>
      </c>
      <c r="J1367" s="34">
        <f>(C1367*1.1238938053)+(-3.9)</f>
        <v>13.070796460030001</v>
      </c>
      <c r="K1367" s="34">
        <f>(C1367*1.07964601769)+(-5.6)</f>
        <v>10.702654867119</v>
      </c>
    </row>
    <row r="1368" spans="1:11" ht="19.95" customHeight="1" x14ac:dyDescent="0.25">
      <c r="A1368" s="13" t="str">
        <f>"79529"</f>
        <v>79529</v>
      </c>
      <c r="B1368" s="14" t="s">
        <v>1712</v>
      </c>
      <c r="C1368" s="13" t="str">
        <f>"16.4"</f>
        <v>16.4</v>
      </c>
      <c r="D1368" s="32">
        <f>(C1368*1.24778761061)+(0.4)</f>
        <v>20.863716814003997</v>
      </c>
      <c r="E1368" s="33">
        <f>(C1368*1.16814159292)+(-1)</f>
        <v>18.157522123888</v>
      </c>
      <c r="F1368" s="33">
        <f>(C1368*1.1238938053)+(-4.4)</f>
        <v>14.03185840692</v>
      </c>
      <c r="G1368" s="33">
        <f>(C1368*1.06194690265)+(-5.9)</f>
        <v>11.515929203459995</v>
      </c>
      <c r="H1368" s="34">
        <f>(C1368*1.19469026548)+(0)</f>
        <v>19.592920353872</v>
      </c>
      <c r="I1368" s="34">
        <f>(C1368*1.16814159292)+(-2)</f>
        <v>17.157522123888</v>
      </c>
      <c r="J1368" s="34">
        <f>(C1368*1.1238938053)+(-3.9)</f>
        <v>14.53185840692</v>
      </c>
      <c r="K1368" s="34">
        <f>(C1368*1.07964601769)+(-5.6)</f>
        <v>12.106194690116</v>
      </c>
    </row>
    <row r="1369" spans="1:11" ht="19.95" customHeight="1" x14ac:dyDescent="0.25">
      <c r="A1369" s="13" t="str">
        <f>"1000698"</f>
        <v>1000698</v>
      </c>
      <c r="B1369" s="14" t="s">
        <v>1713</v>
      </c>
      <c r="C1369" s="13" t="str">
        <f>"30.9"</f>
        <v>30.9</v>
      </c>
      <c r="D1369" s="32">
        <f>(C1369*1.24778761061)+(0.4)</f>
        <v>38.956637167849003</v>
      </c>
      <c r="E1369" s="33">
        <f>(C1369*1.16814159292)+(-1)</f>
        <v>35.095575221228003</v>
      </c>
      <c r="F1369" s="33">
        <f>(C1369*1.1238938053)+(-4.4)</f>
        <v>30.328318583769999</v>
      </c>
      <c r="G1369" s="33">
        <f>(C1369*1.06194690265)+(-5.9)</f>
        <v>26.914159291884999</v>
      </c>
      <c r="H1369" s="34">
        <f>(C1369*1.19469026548)+(0)</f>
        <v>36.915929203331999</v>
      </c>
      <c r="I1369" s="34">
        <f>(C1369*1.16814159292)+(-2)</f>
        <v>34.095575221228003</v>
      </c>
      <c r="J1369" s="34">
        <f>(C1369*1.1238938053)+(-3.9)</f>
        <v>30.828318583769999</v>
      </c>
      <c r="K1369" s="34">
        <f>(C1369*1.07964601769)+(-5.6)</f>
        <v>27.761061946620998</v>
      </c>
    </row>
    <row r="1370" spans="1:11" ht="19.95" customHeight="1" x14ac:dyDescent="0.25">
      <c r="A1370" s="13" t="str">
        <f>"73232"</f>
        <v>73232</v>
      </c>
      <c r="B1370" s="14" t="s">
        <v>1714</v>
      </c>
      <c r="C1370" s="13" t="str">
        <f>"21.4"</f>
        <v>21.4</v>
      </c>
      <c r="D1370" s="32">
        <f>(C1370*1.24778761061)+(0.4)</f>
        <v>27.102654867054</v>
      </c>
      <c r="E1370" s="33">
        <f>(C1370*1.16814159292)+(-1)</f>
        <v>23.998230088488</v>
      </c>
      <c r="F1370" s="33">
        <f>(C1370*1.1238938053)+(-4.4)</f>
        <v>19.651327433420001</v>
      </c>
      <c r="G1370" s="33">
        <f>(C1370*1.06194690265)+(-5.9)</f>
        <v>16.825663716709997</v>
      </c>
      <c r="H1370" s="34">
        <f>(C1370*1.19469026548)+(0)</f>
        <v>25.566371681271999</v>
      </c>
      <c r="I1370" s="34">
        <f>(C1370*1.16814159292)+(-2)</f>
        <v>22.998230088488</v>
      </c>
      <c r="J1370" s="34">
        <f>(C1370*1.1238938053)+(-3.9)</f>
        <v>20.151327433420001</v>
      </c>
      <c r="K1370" s="34">
        <f>(C1370*1.07964601769)+(-5.6)</f>
        <v>17.504424778565998</v>
      </c>
    </row>
    <row r="1371" spans="1:11" ht="19.95" customHeight="1" x14ac:dyDescent="0.25">
      <c r="A1371" s="13" t="str">
        <f>"1014257"</f>
        <v>1014257</v>
      </c>
      <c r="B1371" s="14" t="s">
        <v>1715</v>
      </c>
      <c r="C1371" s="13" t="str">
        <f>"31.2"</f>
        <v>31.2</v>
      </c>
      <c r="D1371" s="32">
        <f>(C1371*1.24778761061)+(0.4)</f>
        <v>39.330973451032001</v>
      </c>
      <c r="E1371" s="33">
        <f>(C1371*1.16814159292)+(-1)</f>
        <v>35.446017699104004</v>
      </c>
      <c r="F1371" s="33">
        <f>(C1371*1.1238938053)+(-4.4)</f>
        <v>30.665486725360005</v>
      </c>
      <c r="G1371" s="33">
        <f>(C1371*1.06194690265)+(-5.9)</f>
        <v>27.232743362679997</v>
      </c>
      <c r="H1371" s="34">
        <f>(C1371*1.19469026548)+(0)</f>
        <v>37.274336282976002</v>
      </c>
      <c r="I1371" s="34">
        <f>(C1371*1.16814159292)+(-2)</f>
        <v>34.446017699104004</v>
      </c>
      <c r="J1371" s="34">
        <f>(C1371*1.1238938053)+(-3.9)</f>
        <v>31.165486725360005</v>
      </c>
      <c r="K1371" s="34">
        <f>(C1371*1.07964601769)+(-5.6)</f>
        <v>28.084955751928</v>
      </c>
    </row>
    <row r="1372" spans="1:11" ht="19.95" customHeight="1" x14ac:dyDescent="0.25">
      <c r="A1372" s="13" t="str">
        <f>"17001"</f>
        <v>17001</v>
      </c>
      <c r="B1372" s="14" t="s">
        <v>1716</v>
      </c>
      <c r="C1372" s="13" t="str">
        <f>"7.7"</f>
        <v>7.7</v>
      </c>
      <c r="D1372" s="32">
        <f>(C1372*1.24778761061)+(0.4)</f>
        <v>10.007964601697001</v>
      </c>
      <c r="E1372" s="33">
        <f>(C1372*1.16814159292)+(-1)</f>
        <v>7.9946902654840013</v>
      </c>
      <c r="F1372" s="33">
        <f>(C1372*1.1238938053)+(-4.4)</f>
        <v>4.2539823008099997</v>
      </c>
      <c r="G1372" s="33">
        <f>(C1372*1.06194690265)+(-5.9)</f>
        <v>2.2769911504049993</v>
      </c>
      <c r="H1372" s="34">
        <f>(C1372*1.19469026548)+(0)</f>
        <v>9.1991150441960006</v>
      </c>
      <c r="I1372" s="34">
        <f>(C1372*1.16814159292)+(-2)</f>
        <v>6.9946902654840013</v>
      </c>
      <c r="J1372" s="34">
        <f>(C1372*1.1238938053)+(-3.9)</f>
        <v>4.7539823008099997</v>
      </c>
      <c r="K1372" s="34">
        <f>(C1372*1.07964601769)+(-5.6)</f>
        <v>2.7132743362130007</v>
      </c>
    </row>
    <row r="1373" spans="1:11" ht="19.95" customHeight="1" x14ac:dyDescent="0.25">
      <c r="A1373" s="13" t="str">
        <f>"60604"</f>
        <v>60604</v>
      </c>
      <c r="B1373" s="14" t="s">
        <v>1717</v>
      </c>
      <c r="C1373" s="13" t="str">
        <f>"16.3"</f>
        <v>16.3</v>
      </c>
      <c r="D1373" s="32">
        <f>(C1373*1.24778761061)+(0.4)</f>
        <v>20.738938052943002</v>
      </c>
      <c r="E1373" s="33">
        <f>(C1373*1.16814159292)+(-1)</f>
        <v>18.040707964596002</v>
      </c>
      <c r="F1373" s="33">
        <f>(C1373*1.1238938053)+(-4.4)</f>
        <v>13.919469026390002</v>
      </c>
      <c r="G1373" s="33">
        <f>(C1373*1.06194690265)+(-5.9)</f>
        <v>11.409734513195</v>
      </c>
      <c r="H1373" s="34">
        <f>(C1373*1.19469026548)+(0)</f>
        <v>19.473451327324</v>
      </c>
      <c r="I1373" s="34">
        <f>(C1373*1.16814159292)+(-2)</f>
        <v>17.040707964596002</v>
      </c>
      <c r="J1373" s="34">
        <f>(C1373*1.1238938053)+(-3.9)</f>
        <v>14.419469026390002</v>
      </c>
      <c r="K1373" s="34">
        <f>(C1373*1.07964601769)+(-5.6)</f>
        <v>11.998230088347002</v>
      </c>
    </row>
    <row r="1374" spans="1:11" ht="19.95" customHeight="1" x14ac:dyDescent="0.25">
      <c r="A1374" s="13" t="str">
        <f>"17002"</f>
        <v>17002</v>
      </c>
      <c r="B1374" s="14" t="s">
        <v>1718</v>
      </c>
      <c r="C1374" s="13" t="str">
        <f>"9.5"</f>
        <v>9.5</v>
      </c>
      <c r="D1374" s="32">
        <f>(C1374*1.24778761061)+(0.4)</f>
        <v>12.253982300795002</v>
      </c>
      <c r="E1374" s="33">
        <f>(C1374*1.16814159292)+(-1)</f>
        <v>10.097345132740001</v>
      </c>
      <c r="F1374" s="33">
        <f>(C1374*1.1238938053)+(-4.4)</f>
        <v>6.2769911503499998</v>
      </c>
      <c r="G1374" s="33">
        <f>(C1374*1.06194690265)+(-5.9)</f>
        <v>4.1884955751749988</v>
      </c>
      <c r="H1374" s="34">
        <f>(C1374*1.19469026548)+(0)</f>
        <v>11.34955752206</v>
      </c>
      <c r="I1374" s="34">
        <f>(C1374*1.16814159292)+(-2)</f>
        <v>9.097345132740001</v>
      </c>
      <c r="J1374" s="34">
        <f>(C1374*1.1238938053)+(-3.9)</f>
        <v>6.7769911503499998</v>
      </c>
      <c r="K1374" s="34">
        <f>(C1374*1.07964601769)+(-5.6)</f>
        <v>4.6566371680550009</v>
      </c>
    </row>
    <row r="1375" spans="1:11" ht="19.95" customHeight="1" x14ac:dyDescent="0.25">
      <c r="A1375" s="13" t="str">
        <f>"1001809"</f>
        <v>1001809</v>
      </c>
      <c r="B1375" s="14" t="s">
        <v>1719</v>
      </c>
      <c r="C1375" s="13" t="str">
        <f>"31.5"</f>
        <v>31.5</v>
      </c>
      <c r="D1375" s="32">
        <f>(C1375*1.24778761061)+(0.4)</f>
        <v>39.705309734215</v>
      </c>
      <c r="E1375" s="33">
        <f>(C1375*1.16814159292)+(-1)</f>
        <v>35.796460176980005</v>
      </c>
      <c r="F1375" s="33">
        <f>(C1375*1.1238938053)+(-4.4)</f>
        <v>31.002654866950003</v>
      </c>
      <c r="G1375" s="33">
        <f>(C1375*1.06194690265)+(-5.9)</f>
        <v>27.551327433475002</v>
      </c>
      <c r="H1375" s="34">
        <f>(C1375*1.19469026548)+(0)</f>
        <v>37.632743362619998</v>
      </c>
      <c r="I1375" s="34">
        <f>(C1375*1.16814159292)+(-2)</f>
        <v>34.796460176980005</v>
      </c>
      <c r="J1375" s="34">
        <f>(C1375*1.1238938053)+(-3.9)</f>
        <v>31.502654866950003</v>
      </c>
      <c r="K1375" s="34">
        <f>(C1375*1.07964601769)+(-5.6)</f>
        <v>28.408849557235001</v>
      </c>
    </row>
    <row r="1376" spans="1:11" ht="19.95" customHeight="1" x14ac:dyDescent="0.25">
      <c r="A1376" s="13" t="str">
        <f>"13614"</f>
        <v>13614</v>
      </c>
      <c r="B1376" s="14" t="s">
        <v>1720</v>
      </c>
      <c r="C1376" s="13" t="str">
        <f>"24.8"</f>
        <v>24.8</v>
      </c>
      <c r="D1376" s="32">
        <f>(C1376*1.24778761061)+(0.4)</f>
        <v>31.345132743128001</v>
      </c>
      <c r="E1376" s="33">
        <f>(C1376*1.16814159292)+(-1)</f>
        <v>27.969911504416004</v>
      </c>
      <c r="F1376" s="33">
        <f>(C1376*1.1238938053)+(-4.4)</f>
        <v>23.472566371440003</v>
      </c>
      <c r="G1376" s="33">
        <f>(C1376*1.06194690265)+(-5.9)</f>
        <v>20.436283185720001</v>
      </c>
      <c r="H1376" s="34">
        <f>(C1376*1.19469026548)+(0)</f>
        <v>29.628318583904001</v>
      </c>
      <c r="I1376" s="34">
        <f>(C1376*1.16814159292)+(-2)</f>
        <v>26.969911504416004</v>
      </c>
      <c r="J1376" s="34">
        <f>(C1376*1.1238938053)+(-3.9)</f>
        <v>23.972566371440003</v>
      </c>
      <c r="K1376" s="34">
        <f>(C1376*1.07964601769)+(-5.6)</f>
        <v>21.175221238711998</v>
      </c>
    </row>
    <row r="1377" spans="1:11" ht="19.95" customHeight="1" x14ac:dyDescent="0.25">
      <c r="A1377" s="13" t="str">
        <f>"17004"</f>
        <v>17004</v>
      </c>
      <c r="B1377" s="14" t="s">
        <v>1721</v>
      </c>
      <c r="C1377" s="13" t="str">
        <f>"21.7"</f>
        <v>21.7</v>
      </c>
      <c r="D1377" s="32">
        <f>(C1377*1.24778761061)+(0.4)</f>
        <v>27.476991150237001</v>
      </c>
      <c r="E1377" s="33">
        <f>(C1377*1.16814159292)+(-1)</f>
        <v>24.348672566364002</v>
      </c>
      <c r="F1377" s="33">
        <f>(C1377*1.1238938053)+(-4.4)</f>
        <v>19.988495575009999</v>
      </c>
      <c r="G1377" s="33">
        <f>(C1377*1.06194690265)+(-5.9)</f>
        <v>17.144247787504995</v>
      </c>
      <c r="H1377" s="34">
        <f>(C1377*1.19469026548)+(0)</f>
        <v>25.924778760915999</v>
      </c>
      <c r="I1377" s="34">
        <f>(C1377*1.16814159292)+(-2)</f>
        <v>23.348672566364002</v>
      </c>
      <c r="J1377" s="34">
        <f>(C1377*1.1238938053)+(-3.9)</f>
        <v>20.488495575010003</v>
      </c>
      <c r="K1377" s="34">
        <f>(C1377*1.07964601769)+(-5.6)</f>
        <v>17.828318583872999</v>
      </c>
    </row>
    <row r="1378" spans="1:11" ht="19.95" customHeight="1" x14ac:dyDescent="0.25">
      <c r="A1378" s="13" t="str">
        <f>"46908"</f>
        <v>46908</v>
      </c>
      <c r="B1378" s="14" t="s">
        <v>1722</v>
      </c>
      <c r="C1378" s="13" t="str">
        <f>"11.9"</f>
        <v>11.9</v>
      </c>
      <c r="D1378" s="32">
        <f>(C1378*1.24778761061)+(0.4)</f>
        <v>15.248672566259001</v>
      </c>
      <c r="E1378" s="33">
        <f>(C1378*1.16814159292)+(-1)</f>
        <v>12.900884955748001</v>
      </c>
      <c r="F1378" s="33">
        <f>(C1378*1.1238938053)+(-4.4)</f>
        <v>8.9743362830700004</v>
      </c>
      <c r="G1378" s="33">
        <f>(C1378*1.06194690265)+(-5.9)</f>
        <v>6.7371681415349993</v>
      </c>
      <c r="H1378" s="34">
        <f>(C1378*1.19469026548)+(0)</f>
        <v>14.216814159212001</v>
      </c>
      <c r="I1378" s="34">
        <f>(C1378*1.16814159292)+(-2)</f>
        <v>11.900884955748001</v>
      </c>
      <c r="J1378" s="34">
        <f>(C1378*1.1238938053)+(-3.9)</f>
        <v>9.4743362830700004</v>
      </c>
      <c r="K1378" s="34">
        <f>(C1378*1.07964601769)+(-5.6)</f>
        <v>7.2477876105110006</v>
      </c>
    </row>
    <row r="1379" spans="1:11" ht="19.95" customHeight="1" x14ac:dyDescent="0.25">
      <c r="A1379" s="13" t="str">
        <f>"64060"</f>
        <v>64060</v>
      </c>
      <c r="B1379" s="14" t="s">
        <v>1723</v>
      </c>
      <c r="C1379" s="13" t="str">
        <f>"19.9"</f>
        <v>19.9</v>
      </c>
      <c r="D1379" s="32">
        <f>(C1379*1.24778761061)+(0.4)</f>
        <v>25.230973451139</v>
      </c>
      <c r="E1379" s="33">
        <f>(C1379*1.16814159292)+(-1)</f>
        <v>22.246017699107998</v>
      </c>
      <c r="F1379" s="33">
        <f>(C1379*1.1238938053)+(-4.4)</f>
        <v>17.965486725470001</v>
      </c>
      <c r="G1379" s="33">
        <f>(C1379*1.06194690265)+(-5.9)</f>
        <v>15.232743362734995</v>
      </c>
      <c r="H1379" s="34">
        <f>(C1379*1.19469026548)+(0)</f>
        <v>23.774336283051998</v>
      </c>
      <c r="I1379" s="34">
        <f>(C1379*1.16814159292)+(-2)</f>
        <v>21.246017699107998</v>
      </c>
      <c r="J1379" s="34">
        <f>(C1379*1.1238938053)+(-3.9)</f>
        <v>18.465486725470001</v>
      </c>
      <c r="K1379" s="34">
        <f>(C1379*1.07964601769)+(-5.6)</f>
        <v>15.884955752030999</v>
      </c>
    </row>
    <row r="1380" spans="1:11" ht="19.95" customHeight="1" x14ac:dyDescent="0.25">
      <c r="A1380" s="13" t="str">
        <f>"17006"</f>
        <v>17006</v>
      </c>
      <c r="B1380" s="14" t="s">
        <v>1724</v>
      </c>
      <c r="C1380" s="13" t="str">
        <f>"23.4"</f>
        <v>23.4</v>
      </c>
      <c r="D1380" s="32">
        <f>(C1380*1.24778761061)+(0.4)</f>
        <v>29.598230088274001</v>
      </c>
      <c r="E1380" s="33">
        <f>(C1380*1.16814159292)+(-1)</f>
        <v>26.334513274328</v>
      </c>
      <c r="F1380" s="33">
        <f>(C1380*1.1238938053)+(-4.4)</f>
        <v>21.89911504402</v>
      </c>
      <c r="G1380" s="33">
        <f>(C1380*1.06194690265)+(-5.9)</f>
        <v>18.949557522009997</v>
      </c>
      <c r="H1380" s="34">
        <f>(C1380*1.19469026548)+(0)</f>
        <v>27.955752212231999</v>
      </c>
      <c r="I1380" s="34">
        <f>(C1380*1.16814159292)+(-2)</f>
        <v>25.334513274328</v>
      </c>
      <c r="J1380" s="34">
        <f>(C1380*1.1238938053)+(-3.9)</f>
        <v>22.39911504402</v>
      </c>
      <c r="K1380" s="34">
        <f>(C1380*1.07964601769)+(-5.6)</f>
        <v>19.663716813945996</v>
      </c>
    </row>
    <row r="1381" spans="1:11" ht="19.95" customHeight="1" x14ac:dyDescent="0.25">
      <c r="A1381" s="13" t="str">
        <f>"79928"</f>
        <v>79928</v>
      </c>
      <c r="B1381" s="14" t="s">
        <v>1725</v>
      </c>
      <c r="C1381" s="13" t="str">
        <f>"17.9"</f>
        <v>17.9</v>
      </c>
      <c r="D1381" s="32">
        <f>(C1381*1.24778761061)+(0.4)</f>
        <v>22.735398229918999</v>
      </c>
      <c r="E1381" s="33">
        <f>(C1381*1.16814159292)+(-1)</f>
        <v>19.909734513267999</v>
      </c>
      <c r="F1381" s="33">
        <f>(C1381*1.1238938053)+(-4.4)</f>
        <v>15.717699114869999</v>
      </c>
      <c r="G1381" s="33">
        <f>(C1381*1.06194690265)+(-5.9)</f>
        <v>13.108849557434995</v>
      </c>
      <c r="H1381" s="34">
        <f>(C1381*1.19469026548)+(0)</f>
        <v>21.384955752091997</v>
      </c>
      <c r="I1381" s="34">
        <f>(C1381*1.16814159292)+(-2)</f>
        <v>18.909734513267999</v>
      </c>
      <c r="J1381" s="34">
        <f>(C1381*1.1238938053)+(-3.9)</f>
        <v>16.217699114870001</v>
      </c>
      <c r="K1381" s="34">
        <f>(C1381*1.07964601769)+(-5.6)</f>
        <v>13.725663716651001</v>
      </c>
    </row>
    <row r="1382" spans="1:11" ht="19.95" customHeight="1" x14ac:dyDescent="0.25">
      <c r="A1382" s="13" t="str">
        <f>"17008"</f>
        <v>17008</v>
      </c>
      <c r="B1382" s="14" t="s">
        <v>1726</v>
      </c>
      <c r="C1382" s="13" t="str">
        <f>"11.2"</f>
        <v>11.2</v>
      </c>
      <c r="D1382" s="32">
        <f>(C1382*1.24778761061)+(0.4)</f>
        <v>14.375221238832001</v>
      </c>
      <c r="E1382" s="33">
        <f>(C1382*1.16814159292)+(-1)</f>
        <v>12.083185840704001</v>
      </c>
      <c r="F1382" s="33">
        <f>(C1382*1.1238938053)+(-4.4)</f>
        <v>8.1876106193599991</v>
      </c>
      <c r="G1382" s="33">
        <f>(C1382*1.06194690265)+(-5.9)</f>
        <v>5.9938053096799973</v>
      </c>
      <c r="H1382" s="34">
        <f>(C1382*1.19469026548)+(0)</f>
        <v>13.380530973375999</v>
      </c>
      <c r="I1382" s="34">
        <f>(C1382*1.16814159292)+(-2)</f>
        <v>11.083185840704001</v>
      </c>
      <c r="J1382" s="34">
        <f>(C1382*1.1238938053)+(-3.9)</f>
        <v>8.6876106193599991</v>
      </c>
      <c r="K1382" s="34">
        <f>(C1382*1.07964601769)+(-5.6)</f>
        <v>6.4920353981279995</v>
      </c>
    </row>
    <row r="1383" spans="1:11" ht="19.95" customHeight="1" x14ac:dyDescent="0.25">
      <c r="A1383" s="13" t="str">
        <f>"10532"</f>
        <v>10532</v>
      </c>
      <c r="B1383" s="14" t="s">
        <v>1727</v>
      </c>
      <c r="C1383" s="13" t="str">
        <f>"17.0"</f>
        <v>17.0</v>
      </c>
      <c r="D1383" s="32">
        <f>(C1383*1.24778761061)+(0.4)</f>
        <v>21.612389380370001</v>
      </c>
      <c r="E1383" s="33">
        <f>(C1383*1.16814159292)+(-1)</f>
        <v>18.858407079640003</v>
      </c>
      <c r="F1383" s="33">
        <f>(C1383*1.1238938053)+(-4.4)</f>
        <v>14.7061946901</v>
      </c>
      <c r="G1383" s="33">
        <f>(C1383*1.06194690265)+(-5.9)</f>
        <v>12.153097345049998</v>
      </c>
      <c r="H1383" s="34">
        <f>(C1383*1.19469026548)+(0)</f>
        <v>20.309734513159999</v>
      </c>
      <c r="I1383" s="34">
        <f>(C1383*1.16814159292)+(-2)</f>
        <v>17.858407079640003</v>
      </c>
      <c r="J1383" s="34">
        <f>(C1383*1.1238938053)+(-3.9)</f>
        <v>15.2061946901</v>
      </c>
      <c r="K1383" s="34">
        <f>(C1383*1.07964601769)+(-5.6)</f>
        <v>12.75398230073</v>
      </c>
    </row>
    <row r="1384" spans="1:11" ht="19.95" customHeight="1" x14ac:dyDescent="0.25">
      <c r="A1384" s="13" t="str">
        <f>"17009"</f>
        <v>17009</v>
      </c>
      <c r="B1384" s="14" t="s">
        <v>1728</v>
      </c>
      <c r="C1384" s="13" t="str">
        <f>"17.6"</f>
        <v>17.6</v>
      </c>
      <c r="D1384" s="32">
        <f>(C1384*1.24778761061)+(0.4)</f>
        <v>22.361061946736001</v>
      </c>
      <c r="E1384" s="33">
        <f>(C1384*1.16814159292)+(-1)</f>
        <v>19.559292035392001</v>
      </c>
      <c r="F1384" s="33">
        <f>(C1384*1.1238938053)+(-4.4)</f>
        <v>15.380530973280001</v>
      </c>
      <c r="G1384" s="33">
        <f>(C1384*1.06194690265)+(-5.9)</f>
        <v>12.790265486640001</v>
      </c>
      <c r="H1384" s="34">
        <f>(C1384*1.19469026548)+(0)</f>
        <v>21.026548672448001</v>
      </c>
      <c r="I1384" s="34">
        <f>(C1384*1.16814159292)+(-2)</f>
        <v>18.559292035392001</v>
      </c>
      <c r="J1384" s="34">
        <f>(C1384*1.1238938053)+(-3.9)</f>
        <v>15.880530973280001</v>
      </c>
      <c r="K1384" s="34">
        <f>(C1384*1.07964601769)+(-5.6)</f>
        <v>13.401769911344003</v>
      </c>
    </row>
    <row r="1385" spans="1:11" ht="19.95" customHeight="1" x14ac:dyDescent="0.25">
      <c r="A1385" s="13" t="str">
        <f>"69739"</f>
        <v>69739</v>
      </c>
      <c r="B1385" s="14" t="s">
        <v>1729</v>
      </c>
      <c r="C1385" s="13" t="str">
        <f>"17.9"</f>
        <v>17.9</v>
      </c>
      <c r="D1385" s="32">
        <f>(C1385*1.24778761061)+(0.4)</f>
        <v>22.735398229918999</v>
      </c>
      <c r="E1385" s="33">
        <f>(C1385*1.16814159292)+(-1)</f>
        <v>19.909734513267999</v>
      </c>
      <c r="F1385" s="33">
        <f>(C1385*1.1238938053)+(-4.4)</f>
        <v>15.717699114869999</v>
      </c>
      <c r="G1385" s="33">
        <f>(C1385*1.06194690265)+(-5.9)</f>
        <v>13.108849557434995</v>
      </c>
      <c r="H1385" s="34">
        <f>(C1385*1.19469026548)+(0)</f>
        <v>21.384955752091997</v>
      </c>
      <c r="I1385" s="34">
        <f>(C1385*1.16814159292)+(-2)</f>
        <v>18.909734513267999</v>
      </c>
      <c r="J1385" s="34">
        <f>(C1385*1.1238938053)+(-3.9)</f>
        <v>16.217699114870001</v>
      </c>
      <c r="K1385" s="34">
        <f>(C1385*1.07964601769)+(-5.6)</f>
        <v>13.725663716651001</v>
      </c>
    </row>
    <row r="1386" spans="1:11" ht="19.95" customHeight="1" x14ac:dyDescent="0.25">
      <c r="A1386" s="13" t="str">
        <f>"17013"</f>
        <v>17013</v>
      </c>
      <c r="B1386" s="14" t="s">
        <v>1730</v>
      </c>
      <c r="C1386" s="13" t="str">
        <f>"27.6"</f>
        <v>27.6</v>
      </c>
      <c r="D1386" s="32">
        <f>(C1386*1.24778761061)+(0.4)</f>
        <v>34.838938052836006</v>
      </c>
      <c r="E1386" s="33">
        <f>(C1386*1.16814159292)+(-1)</f>
        <v>31.240707964592005</v>
      </c>
      <c r="F1386" s="33">
        <f>(C1386*1.1238938053)+(-4.4)</f>
        <v>26.619469026280001</v>
      </c>
      <c r="G1386" s="33">
        <f>(C1386*1.06194690265)+(-5.9)</f>
        <v>23.409734513140002</v>
      </c>
      <c r="H1386" s="34">
        <f>(C1386*1.19469026548)+(0)</f>
        <v>32.973451327248</v>
      </c>
      <c r="I1386" s="34">
        <f>(C1386*1.16814159292)+(-2)</f>
        <v>30.240707964592005</v>
      </c>
      <c r="J1386" s="34">
        <f>(C1386*1.1238938053)+(-3.9)</f>
        <v>27.119469026280004</v>
      </c>
      <c r="K1386" s="34">
        <f>(C1386*1.07964601769)+(-5.6)</f>
        <v>24.198230088244003</v>
      </c>
    </row>
    <row r="1387" spans="1:11" ht="19.95" customHeight="1" x14ac:dyDescent="0.25">
      <c r="A1387" s="13" t="str">
        <f>"17015"</f>
        <v>17015</v>
      </c>
      <c r="B1387" s="14" t="s">
        <v>1731</v>
      </c>
      <c r="C1387" s="13" t="str">
        <f>"25.5"</f>
        <v>25.5</v>
      </c>
      <c r="D1387" s="32">
        <f>(C1387*1.24778761061)+(0.4)</f>
        <v>32.218584070555004</v>
      </c>
      <c r="E1387" s="33">
        <f>(C1387*1.16814159292)+(-1)</f>
        <v>28.787610619460001</v>
      </c>
      <c r="F1387" s="33">
        <f>(C1387*1.1238938053)+(-4.4)</f>
        <v>24.259292035150004</v>
      </c>
      <c r="G1387" s="33">
        <f>(C1387*1.06194690265)+(-5.9)</f>
        <v>21.179646017574996</v>
      </c>
      <c r="H1387" s="34">
        <f>(C1387*1.19469026548)+(0)</f>
        <v>30.46460176974</v>
      </c>
      <c r="I1387" s="34">
        <f>(C1387*1.16814159292)+(-2)</f>
        <v>27.787610619460001</v>
      </c>
      <c r="J1387" s="34">
        <f>(C1387*1.1238938053)+(-3.9)</f>
        <v>24.759292035150004</v>
      </c>
      <c r="K1387" s="34">
        <f>(C1387*1.07964601769)+(-5.6)</f>
        <v>21.930973451094999</v>
      </c>
    </row>
    <row r="1388" spans="1:11" ht="19.95" customHeight="1" x14ac:dyDescent="0.25">
      <c r="A1388" s="13" t="str">
        <f>"17019"</f>
        <v>17019</v>
      </c>
      <c r="B1388" s="14" t="s">
        <v>1732</v>
      </c>
      <c r="C1388" s="13" t="str">
        <f>"22.6"</f>
        <v>22.6</v>
      </c>
      <c r="D1388" s="32">
        <f>(C1388*1.24778761061)+(0.4)</f>
        <v>28.599999999786004</v>
      </c>
      <c r="E1388" s="33">
        <f>(C1388*1.16814159292)+(-1)</f>
        <v>25.399999999992005</v>
      </c>
      <c r="F1388" s="33">
        <f>(C1388*1.1238938053)+(-4.4)</f>
        <v>20.999999999780002</v>
      </c>
      <c r="G1388" s="33">
        <f>(C1388*1.06194690265)+(-5.9)</f>
        <v>18.099999999890002</v>
      </c>
      <c r="H1388" s="34">
        <f>(C1388*1.19469026548)+(0)</f>
        <v>26.999999999848001</v>
      </c>
      <c r="I1388" s="34">
        <f>(C1388*1.16814159292)+(-2)</f>
        <v>24.399999999992005</v>
      </c>
      <c r="J1388" s="34">
        <f>(C1388*1.1238938053)+(-3.9)</f>
        <v>21.499999999780005</v>
      </c>
      <c r="K1388" s="34">
        <f>(C1388*1.07964601769)+(-5.6)</f>
        <v>18.799999999794004</v>
      </c>
    </row>
    <row r="1389" spans="1:11" ht="19.95" customHeight="1" x14ac:dyDescent="0.25">
      <c r="A1389" s="13" t="str">
        <f>"1009039"</f>
        <v>1009039</v>
      </c>
      <c r="B1389" s="14" t="s">
        <v>1733</v>
      </c>
      <c r="C1389" s="13" t="str">
        <f>"8.9"</f>
        <v>8.9</v>
      </c>
      <c r="D1389" s="32">
        <f>(C1389*1.24778761061)+(0.4)</f>
        <v>11.505309734429002</v>
      </c>
      <c r="E1389" s="33">
        <f>(C1389*1.16814159292)+(-1)</f>
        <v>9.3964601769880005</v>
      </c>
      <c r="F1389" s="33">
        <f>(C1389*1.1238938053)+(-4.4)</f>
        <v>5.6026548671700009</v>
      </c>
      <c r="G1389" s="33">
        <f>(C1389*1.06194690265)+(-5.9)</f>
        <v>3.5513274335849996</v>
      </c>
      <c r="H1389" s="34">
        <f>(C1389*1.19469026548)+(0)</f>
        <v>10.632743362772</v>
      </c>
      <c r="I1389" s="34">
        <f>(C1389*1.16814159292)+(-2)</f>
        <v>8.3964601769880005</v>
      </c>
      <c r="J1389" s="34">
        <f>(C1389*1.1238938053)+(-3.9)</f>
        <v>6.1026548671700009</v>
      </c>
      <c r="K1389" s="34">
        <f>(C1389*1.07964601769)+(-5.6)</f>
        <v>4.0088495574410015</v>
      </c>
    </row>
    <row r="1390" spans="1:11" ht="19.95" customHeight="1" x14ac:dyDescent="0.25">
      <c r="A1390" s="13" t="str">
        <f>"17021"</f>
        <v>17021</v>
      </c>
      <c r="B1390" s="14" t="s">
        <v>1734</v>
      </c>
      <c r="C1390" s="13" t="str">
        <f>"26.0"</f>
        <v>26.0</v>
      </c>
      <c r="D1390" s="32">
        <f>(C1390*1.24778761061)+(0.4)</f>
        <v>32.842477875859998</v>
      </c>
      <c r="E1390" s="33">
        <f>(C1390*1.16814159292)+(-1)</f>
        <v>29.371681415920001</v>
      </c>
      <c r="F1390" s="33">
        <f>(C1390*1.1238938053)+(-4.4)</f>
        <v>24.821238937800004</v>
      </c>
      <c r="G1390" s="33">
        <f>(C1390*1.06194690265)+(-5.9)</f>
        <v>21.710619468899999</v>
      </c>
      <c r="H1390" s="34">
        <f>(C1390*1.19469026548)+(0)</f>
        <v>31.061946902479999</v>
      </c>
      <c r="I1390" s="34">
        <f>(C1390*1.16814159292)+(-2)</f>
        <v>28.371681415920001</v>
      </c>
      <c r="J1390" s="34">
        <f>(C1390*1.1238938053)+(-3.9)</f>
        <v>25.321238937800004</v>
      </c>
      <c r="K1390" s="34">
        <f>(C1390*1.07964601769)+(-5.6)</f>
        <v>22.470796459939997</v>
      </c>
    </row>
    <row r="1391" spans="1:11" ht="19.95" customHeight="1" x14ac:dyDescent="0.25">
      <c r="A1391" s="13" t="str">
        <f>"1008680"</f>
        <v>1008680</v>
      </c>
      <c r="B1391" s="14" t="s">
        <v>1735</v>
      </c>
      <c r="C1391" s="13" t="str">
        <f>"15.5"</f>
        <v>15.5</v>
      </c>
      <c r="D1391" s="32">
        <f>(C1391*1.24778761061)+(0.4)</f>
        <v>19.740707964455002</v>
      </c>
      <c r="E1391" s="33">
        <f>(C1391*1.16814159292)+(-1)</f>
        <v>17.106194690260001</v>
      </c>
      <c r="F1391" s="33">
        <f>(C1391*1.1238938053)+(-4.4)</f>
        <v>13.020353982150001</v>
      </c>
      <c r="G1391" s="33">
        <f>(C1391*1.06194690265)+(-5.9)</f>
        <v>10.560176991074998</v>
      </c>
      <c r="H1391" s="34">
        <f>(C1391*1.19469026548)+(0)</f>
        <v>18.517699114940001</v>
      </c>
      <c r="I1391" s="34">
        <f>(C1391*1.16814159292)+(-2)</f>
        <v>16.106194690260001</v>
      </c>
      <c r="J1391" s="34">
        <f>(C1391*1.1238938053)+(-3.9)</f>
        <v>13.520353982150001</v>
      </c>
      <c r="K1391" s="34">
        <f>(C1391*1.07964601769)+(-5.6)</f>
        <v>11.134513274194999</v>
      </c>
    </row>
    <row r="1392" spans="1:11" ht="19.95" customHeight="1" x14ac:dyDescent="0.25">
      <c r="A1392" s="13" t="str">
        <f>"21423"</f>
        <v>21423</v>
      </c>
      <c r="B1392" s="14" t="s">
        <v>1736</v>
      </c>
      <c r="C1392" s="13" t="str">
        <f>"7.5"</f>
        <v>7.5</v>
      </c>
      <c r="D1392" s="32">
        <f>(C1392*1.24778761061)+(0.4)</f>
        <v>9.7584070795750009</v>
      </c>
      <c r="E1392" s="33">
        <f>(C1392*1.16814159292)+(-1)</f>
        <v>7.7610619469</v>
      </c>
      <c r="F1392" s="33">
        <f>(C1392*1.1238938053)+(-4.4)</f>
        <v>4.0292035397500001</v>
      </c>
      <c r="G1392" s="33">
        <f>(C1392*1.06194690265)+(-5.9)</f>
        <v>2.064601769874999</v>
      </c>
      <c r="H1392" s="34">
        <f>(C1392*1.19469026548)+(0)</f>
        <v>8.9601769911000009</v>
      </c>
      <c r="I1392" s="34">
        <f>(C1392*1.16814159292)+(-2)</f>
        <v>6.7610619469</v>
      </c>
      <c r="J1392" s="34">
        <f>(C1392*1.1238938053)+(-3.9)</f>
        <v>4.5292035397500001</v>
      </c>
      <c r="K1392" s="34">
        <f>(C1392*1.07964601769)+(-5.6)</f>
        <v>2.4973451326750009</v>
      </c>
    </row>
    <row r="1393" spans="1:11" ht="19.95" customHeight="1" x14ac:dyDescent="0.25">
      <c r="A1393" s="13" t="str">
        <f>"66179"</f>
        <v>66179</v>
      </c>
      <c r="B1393" s="14" t="s">
        <v>1737</v>
      </c>
      <c r="C1393" s="13" t="str">
        <f>"27.8"</f>
        <v>27.8</v>
      </c>
      <c r="D1393" s="32">
        <f>(C1393*1.24778761061)+(0.4)</f>
        <v>35.088495574958003</v>
      </c>
      <c r="E1393" s="33">
        <f>(C1393*1.16814159292)+(-1)</f>
        <v>31.474336283176001</v>
      </c>
      <c r="F1393" s="33">
        <f>(C1393*1.1238938053)+(-4.4)</f>
        <v>26.844247787340002</v>
      </c>
      <c r="G1393" s="33">
        <f>(C1393*1.06194690265)+(-5.9)</f>
        <v>23.62212389367</v>
      </c>
      <c r="H1393" s="34">
        <f>(C1393*1.19469026548)+(0)</f>
        <v>33.212389380344</v>
      </c>
      <c r="I1393" s="34">
        <f>(C1393*1.16814159292)+(-2)</f>
        <v>30.474336283176001</v>
      </c>
      <c r="J1393" s="34">
        <f>(C1393*1.1238938053)+(-3.9)</f>
        <v>27.344247787340002</v>
      </c>
      <c r="K1393" s="34">
        <f>(C1393*1.07964601769)+(-5.6)</f>
        <v>24.414159291781999</v>
      </c>
    </row>
    <row r="1394" spans="1:11" ht="19.95" customHeight="1" x14ac:dyDescent="0.25">
      <c r="A1394" s="13" t="str">
        <f>"17025"</f>
        <v>17025</v>
      </c>
      <c r="B1394" s="14" t="s">
        <v>1738</v>
      </c>
      <c r="C1394" s="13" t="str">
        <f>"24.4"</f>
        <v>24.4</v>
      </c>
      <c r="D1394" s="32">
        <f>(C1394*1.24778761061)+(0.4)</f>
        <v>30.846017698883998</v>
      </c>
      <c r="E1394" s="33">
        <f>(C1394*1.16814159292)+(-1)</f>
        <v>27.502654867248001</v>
      </c>
      <c r="F1394" s="33">
        <f>(C1394*1.1238938053)+(-4.4)</f>
        <v>23.02300884932</v>
      </c>
      <c r="G1394" s="33">
        <f>(C1394*1.06194690265)+(-5.9)</f>
        <v>20.011504424659996</v>
      </c>
      <c r="H1394" s="34">
        <f>(C1394*1.19469026548)+(0)</f>
        <v>29.150442477711998</v>
      </c>
      <c r="I1394" s="34">
        <f>(C1394*1.16814159292)+(-2)</f>
        <v>26.502654867248001</v>
      </c>
      <c r="J1394" s="34">
        <f>(C1394*1.1238938053)+(-3.9)</f>
        <v>23.52300884932</v>
      </c>
      <c r="K1394" s="34">
        <f>(C1394*1.07964601769)+(-5.6)</f>
        <v>20.743362831635999</v>
      </c>
    </row>
    <row r="1395" spans="1:11" ht="19.95" customHeight="1" x14ac:dyDescent="0.25">
      <c r="A1395" s="13" t="str">
        <f>"17024"</f>
        <v>17024</v>
      </c>
      <c r="B1395" s="14" t="s">
        <v>1739</v>
      </c>
      <c r="C1395" s="13" t="str">
        <f>"28.6"</f>
        <v>28.6</v>
      </c>
      <c r="D1395" s="32">
        <f>(C1395*1.24778761061)+(0.4)</f>
        <v>36.086725663446003</v>
      </c>
      <c r="E1395" s="33">
        <f>(C1395*1.16814159292)+(-1)</f>
        <v>32.408849557512006</v>
      </c>
      <c r="F1395" s="33">
        <f>(C1395*1.1238938053)+(-4.4)</f>
        <v>27.743362831580008</v>
      </c>
      <c r="G1395" s="33">
        <f>(C1395*1.06194690265)+(-5.9)</f>
        <v>24.471681415790002</v>
      </c>
      <c r="H1395" s="34">
        <f>(C1395*1.19469026548)+(0)</f>
        <v>34.168141592727999</v>
      </c>
      <c r="I1395" s="34">
        <f>(C1395*1.16814159292)+(-2)</f>
        <v>31.408849557512006</v>
      </c>
      <c r="J1395" s="34">
        <f>(C1395*1.1238938053)+(-3.9)</f>
        <v>28.243362831580008</v>
      </c>
      <c r="K1395" s="34">
        <f>(C1395*1.07964601769)+(-5.6)</f>
        <v>25.277876105934006</v>
      </c>
    </row>
    <row r="1396" spans="1:11" ht="19.95" customHeight="1" x14ac:dyDescent="0.25">
      <c r="A1396" s="13" t="str">
        <f>"7388"</f>
        <v>7388</v>
      </c>
      <c r="B1396" s="14" t="s">
        <v>1740</v>
      </c>
      <c r="C1396" s="13" t="str">
        <f>"17.0"</f>
        <v>17.0</v>
      </c>
      <c r="D1396" s="32">
        <f>(C1396*1.24778761061)+(0.4)</f>
        <v>21.612389380370001</v>
      </c>
      <c r="E1396" s="33">
        <f>(C1396*1.16814159292)+(-1)</f>
        <v>18.858407079640003</v>
      </c>
      <c r="F1396" s="33">
        <f>(C1396*1.1238938053)+(-4.4)</f>
        <v>14.7061946901</v>
      </c>
      <c r="G1396" s="33">
        <f>(C1396*1.06194690265)+(-5.9)</f>
        <v>12.153097345049998</v>
      </c>
      <c r="H1396" s="34">
        <f>(C1396*1.19469026548)+(0)</f>
        <v>20.309734513159999</v>
      </c>
      <c r="I1396" s="34">
        <f>(C1396*1.16814159292)+(-2)</f>
        <v>17.858407079640003</v>
      </c>
      <c r="J1396" s="34">
        <f>(C1396*1.1238938053)+(-3.9)</f>
        <v>15.2061946901</v>
      </c>
      <c r="K1396" s="34">
        <f>(C1396*1.07964601769)+(-5.6)</f>
        <v>12.75398230073</v>
      </c>
    </row>
    <row r="1397" spans="1:11" ht="19.95" customHeight="1" x14ac:dyDescent="0.25">
      <c r="A1397" s="13" t="str">
        <f>"1015266"</f>
        <v>1015266</v>
      </c>
      <c r="B1397" s="14" t="s">
        <v>1741</v>
      </c>
      <c r="C1397" s="13" t="str">
        <f>"28.5"</f>
        <v>28.5</v>
      </c>
      <c r="D1397" s="32">
        <f>(C1397*1.24778761061)+(0.4)</f>
        <v>35.961946902385002</v>
      </c>
      <c r="E1397" s="33">
        <f>(C1397*1.16814159292)+(-1)</f>
        <v>32.292035398220001</v>
      </c>
      <c r="F1397" s="33">
        <f>(C1397*1.1238938053)+(-4.4)</f>
        <v>27.630973451050004</v>
      </c>
      <c r="G1397" s="33">
        <f>(C1397*1.06194690265)+(-5.9)</f>
        <v>24.365486725524995</v>
      </c>
      <c r="H1397" s="34">
        <f>(C1397*1.19469026548)+(0)</f>
        <v>34.048672566180002</v>
      </c>
      <c r="I1397" s="34">
        <f>(C1397*1.16814159292)+(-2)</f>
        <v>31.292035398220001</v>
      </c>
      <c r="J1397" s="34">
        <f>(C1397*1.1238938053)+(-3.9)</f>
        <v>28.130973451050004</v>
      </c>
      <c r="K1397" s="34">
        <f>(C1397*1.07964601769)+(-5.6)</f>
        <v>25.169911504165</v>
      </c>
    </row>
    <row r="1398" spans="1:11" ht="19.95" customHeight="1" x14ac:dyDescent="0.25">
      <c r="A1398" s="13" t="str">
        <f>"61936"</f>
        <v>61936</v>
      </c>
      <c r="B1398" s="14" t="s">
        <v>1742</v>
      </c>
      <c r="C1398" s="13" t="str">
        <f>"17.6"</f>
        <v>17.6</v>
      </c>
      <c r="D1398" s="32">
        <f>(C1398*1.24778761061)+(0.4)</f>
        <v>22.361061946736001</v>
      </c>
      <c r="E1398" s="33">
        <f>(C1398*1.16814159292)+(-1)</f>
        <v>19.559292035392001</v>
      </c>
      <c r="F1398" s="33">
        <f>(C1398*1.1238938053)+(-4.4)</f>
        <v>15.380530973280001</v>
      </c>
      <c r="G1398" s="33">
        <f>(C1398*1.06194690265)+(-5.9)</f>
        <v>12.790265486640001</v>
      </c>
      <c r="H1398" s="34">
        <f>(C1398*1.19469026548)+(0)</f>
        <v>21.026548672448001</v>
      </c>
      <c r="I1398" s="34">
        <f>(C1398*1.16814159292)+(-2)</f>
        <v>18.559292035392001</v>
      </c>
      <c r="J1398" s="34">
        <f>(C1398*1.1238938053)+(-3.9)</f>
        <v>15.880530973280001</v>
      </c>
      <c r="K1398" s="34">
        <f>(C1398*1.07964601769)+(-5.6)</f>
        <v>13.401769911344003</v>
      </c>
    </row>
    <row r="1399" spans="1:11" ht="19.95" customHeight="1" x14ac:dyDescent="0.25">
      <c r="A1399" s="13" t="str">
        <f>"26086"</f>
        <v>26086</v>
      </c>
      <c r="B1399" s="14" t="s">
        <v>1743</v>
      </c>
      <c r="C1399" s="13" t="str">
        <f>"18.7"</f>
        <v>18.7</v>
      </c>
      <c r="D1399" s="32">
        <f>(C1399*1.24778761061)+(0.4)</f>
        <v>23.733628318407</v>
      </c>
      <c r="E1399" s="33">
        <f>(C1399*1.16814159292)+(-1)</f>
        <v>20.844247787604001</v>
      </c>
      <c r="F1399" s="33">
        <f>(C1399*1.1238938053)+(-4.4)</f>
        <v>16.61681415911</v>
      </c>
      <c r="G1399" s="33">
        <f>(C1399*1.06194690265)+(-5.9)</f>
        <v>13.958407079554997</v>
      </c>
      <c r="H1399" s="34">
        <f>(C1399*1.19469026548)+(0)</f>
        <v>22.340707964476</v>
      </c>
      <c r="I1399" s="34">
        <f>(C1399*1.16814159292)+(-2)</f>
        <v>19.844247787604001</v>
      </c>
      <c r="J1399" s="34">
        <f>(C1399*1.1238938053)+(-3.9)</f>
        <v>17.116814159110003</v>
      </c>
      <c r="K1399" s="34">
        <f>(C1399*1.07964601769)+(-5.6)</f>
        <v>14.589380530803</v>
      </c>
    </row>
    <row r="1400" spans="1:11" ht="19.95" customHeight="1" x14ac:dyDescent="0.25">
      <c r="A1400" s="13" t="str">
        <f>"46758"</f>
        <v>46758</v>
      </c>
      <c r="B1400" s="14" t="s">
        <v>1744</v>
      </c>
      <c r="C1400" s="13" t="str">
        <f>"23.9"</f>
        <v>23.9</v>
      </c>
      <c r="D1400" s="32">
        <f>(C1400*1.24778761061)+(0.4)</f>
        <v>30.222123893578999</v>
      </c>
      <c r="E1400" s="33">
        <f>(C1400*1.16814159292)+(-1)</f>
        <v>26.918584070788</v>
      </c>
      <c r="F1400" s="33">
        <f>(C1400*1.1238938053)+(-4.4)</f>
        <v>22.46106194667</v>
      </c>
      <c r="G1400" s="33">
        <f>(C1400*1.06194690265)+(-5.9)</f>
        <v>19.480530973334993</v>
      </c>
      <c r="H1400" s="34">
        <f>(C1400*1.19469026548)+(0)</f>
        <v>28.553097344971999</v>
      </c>
      <c r="I1400" s="34">
        <f>(C1400*1.16814159292)+(-2)</f>
        <v>25.918584070788</v>
      </c>
      <c r="J1400" s="34">
        <f>(C1400*1.1238938053)+(-3.9)</f>
        <v>22.96106194667</v>
      </c>
      <c r="K1400" s="34">
        <f>(C1400*1.07964601769)+(-5.6)</f>
        <v>20.203539822791001</v>
      </c>
    </row>
    <row r="1401" spans="1:11" ht="19.95" customHeight="1" x14ac:dyDescent="0.25">
      <c r="A1401" s="13" t="str">
        <f>"26087"</f>
        <v>26087</v>
      </c>
      <c r="B1401" s="14" t="s">
        <v>1745</v>
      </c>
      <c r="C1401" s="13" t="str">
        <f>"15.7"</f>
        <v>15.7</v>
      </c>
      <c r="D1401" s="32">
        <f>(C1401*1.24778761061)+(0.4)</f>
        <v>19.990265486576998</v>
      </c>
      <c r="E1401" s="33">
        <f>(C1401*1.16814159292)+(-1)</f>
        <v>17.339823008844</v>
      </c>
      <c r="F1401" s="33">
        <f>(C1401*1.1238938053)+(-4.4)</f>
        <v>13.245132743209998</v>
      </c>
      <c r="G1401" s="33">
        <f>(C1401*1.06194690265)+(-5.9)</f>
        <v>10.772566371604997</v>
      </c>
      <c r="H1401" s="34">
        <f>(C1401*1.19469026548)+(0)</f>
        <v>18.756637168036001</v>
      </c>
      <c r="I1401" s="34">
        <f>(C1401*1.16814159292)+(-2)</f>
        <v>16.339823008844</v>
      </c>
      <c r="J1401" s="34">
        <f>(C1401*1.1238938053)+(-3.9)</f>
        <v>13.745132743209998</v>
      </c>
      <c r="K1401" s="34">
        <f>(C1401*1.07964601769)+(-5.6)</f>
        <v>11.350442477732999</v>
      </c>
    </row>
    <row r="1402" spans="1:11" ht="19.95" customHeight="1" x14ac:dyDescent="0.25">
      <c r="A1402" s="13" t="str">
        <f>"71900"</f>
        <v>71900</v>
      </c>
      <c r="B1402" s="14" t="s">
        <v>1746</v>
      </c>
      <c r="C1402" s="13" t="str">
        <f>"14.8"</f>
        <v>14.8</v>
      </c>
      <c r="D1402" s="32">
        <f>(C1402*1.24778761061)+(0.4)</f>
        <v>18.867256637027999</v>
      </c>
      <c r="E1402" s="33">
        <f>(C1402*1.16814159292)+(-1)</f>
        <v>16.288495575216</v>
      </c>
      <c r="F1402" s="33">
        <f>(C1402*1.1238938053)+(-4.4)</f>
        <v>12.233628318440003</v>
      </c>
      <c r="G1402" s="33">
        <f>(C1402*1.06194690265)+(-5.9)</f>
        <v>9.8168141592199998</v>
      </c>
      <c r="H1402" s="34">
        <f>(C1402*1.19469026548)+(0)</f>
        <v>17.681415929104002</v>
      </c>
      <c r="I1402" s="34">
        <f>(C1402*1.16814159292)+(-2)</f>
        <v>15.288495575216</v>
      </c>
      <c r="J1402" s="34">
        <f>(C1402*1.1238938053)+(-3.9)</f>
        <v>12.733628318440003</v>
      </c>
      <c r="K1402" s="34">
        <f>(C1402*1.07964601769)+(-5.6)</f>
        <v>10.378761061812002</v>
      </c>
    </row>
    <row r="1403" spans="1:11" ht="19.95" customHeight="1" x14ac:dyDescent="0.25">
      <c r="A1403" s="13" t="str">
        <f>"1012276"</f>
        <v>1012276</v>
      </c>
      <c r="B1403" s="14" t="s">
        <v>1747</v>
      </c>
      <c r="C1403" s="13" t="str">
        <f>"29.0"</f>
        <v>29.0</v>
      </c>
      <c r="D1403" s="32">
        <f>(C1403*1.24778761061)+(0.4)</f>
        <v>36.585840707690004</v>
      </c>
      <c r="E1403" s="33">
        <f>(C1403*1.16814159292)+(-1)</f>
        <v>32.876106194680006</v>
      </c>
      <c r="F1403" s="33">
        <f>(C1403*1.1238938053)+(-4.4)</f>
        <v>28.192920353700003</v>
      </c>
      <c r="G1403" s="33">
        <f>(C1403*1.06194690265)+(-5.9)</f>
        <v>24.896460176849999</v>
      </c>
      <c r="H1403" s="34">
        <f>(C1403*1.19469026548)+(0)</f>
        <v>34.646017698919998</v>
      </c>
      <c r="I1403" s="34">
        <f>(C1403*1.16814159292)+(-2)</f>
        <v>31.876106194680006</v>
      </c>
      <c r="J1403" s="34">
        <f>(C1403*1.1238938053)+(-3.9)</f>
        <v>28.692920353700003</v>
      </c>
      <c r="K1403" s="34">
        <f>(C1403*1.07964601769)+(-5.6)</f>
        <v>25.709734513009998</v>
      </c>
    </row>
    <row r="1404" spans="1:11" ht="19.95" customHeight="1" x14ac:dyDescent="0.25">
      <c r="A1404" s="13" t="str">
        <f>"1013412"</f>
        <v>1013412</v>
      </c>
      <c r="B1404" s="14" t="s">
        <v>1748</v>
      </c>
      <c r="C1404" s="13" t="str">
        <f>"34.4"</f>
        <v>34.4</v>
      </c>
      <c r="D1404" s="32">
        <f>(C1404*1.24778761061)+(0.4)</f>
        <v>43.323893804984003</v>
      </c>
      <c r="E1404" s="33">
        <f>(C1404*1.16814159292)+(-1)</f>
        <v>39.184070796448005</v>
      </c>
      <c r="F1404" s="33">
        <f>(C1404*1.1238938053)+(-4.4)</f>
        <v>34.261946902319998</v>
      </c>
      <c r="G1404" s="33">
        <f>(C1404*1.06194690265)+(-5.9)</f>
        <v>30.630973451159996</v>
      </c>
      <c r="H1404" s="34">
        <f>(C1404*1.19469026548)+(0)</f>
        <v>41.097345132511997</v>
      </c>
      <c r="I1404" s="34">
        <f>(C1404*1.16814159292)+(-2)</f>
        <v>38.184070796448005</v>
      </c>
      <c r="J1404" s="34">
        <f>(C1404*1.1238938053)+(-3.9)</f>
        <v>34.761946902319998</v>
      </c>
      <c r="K1404" s="34">
        <f>(C1404*1.07964601769)+(-5.6)</f>
        <v>31.539823008535997</v>
      </c>
    </row>
    <row r="1405" spans="1:11" ht="19.95" customHeight="1" x14ac:dyDescent="0.25">
      <c r="A1405" s="13" t="str">
        <f>"70710"</f>
        <v>70710</v>
      </c>
      <c r="B1405" s="14" t="s">
        <v>1749</v>
      </c>
      <c r="C1405" s="13" t="str">
        <f>"23.5"</f>
        <v>23.5</v>
      </c>
      <c r="D1405" s="32">
        <f>(C1405*1.24778761061)+(0.4)</f>
        <v>29.723008849335002</v>
      </c>
      <c r="E1405" s="33">
        <f>(C1405*1.16814159292)+(-1)</f>
        <v>26.451327433620001</v>
      </c>
      <c r="F1405" s="33">
        <f>(C1405*1.1238938053)+(-4.4)</f>
        <v>22.011504424549997</v>
      </c>
      <c r="G1405" s="33">
        <f>(C1405*1.06194690265)+(-5.9)</f>
        <v>19.055752212274996</v>
      </c>
      <c r="H1405" s="34">
        <f>(C1405*1.19469026548)+(0)</f>
        <v>28.075221238779999</v>
      </c>
      <c r="I1405" s="34">
        <f>(C1405*1.16814159292)+(-2)</f>
        <v>25.451327433620001</v>
      </c>
      <c r="J1405" s="34">
        <f>(C1405*1.1238938053)+(-3.9)</f>
        <v>22.511504424550001</v>
      </c>
      <c r="K1405" s="34">
        <f>(C1405*1.07964601769)+(-5.6)</f>
        <v>19.771681415715001</v>
      </c>
    </row>
    <row r="1406" spans="1:11" ht="19.95" customHeight="1" x14ac:dyDescent="0.25">
      <c r="A1406" s="13" t="str">
        <f>"69822"</f>
        <v>69822</v>
      </c>
      <c r="B1406" s="14" t="s">
        <v>1750</v>
      </c>
      <c r="C1406" s="13" t="str">
        <f>"22.2"</f>
        <v>22.2</v>
      </c>
      <c r="D1406" s="32">
        <f>(C1406*1.24778761061)+(0.4)</f>
        <v>28.100884955542</v>
      </c>
      <c r="E1406" s="33">
        <f>(C1406*1.16814159292)+(-1)</f>
        <v>24.932743362824002</v>
      </c>
      <c r="F1406" s="33">
        <f>(C1406*1.1238938053)+(-4.4)</f>
        <v>20.550442477659999</v>
      </c>
      <c r="G1406" s="33">
        <f>(C1406*1.06194690265)+(-5.9)</f>
        <v>17.675221238829998</v>
      </c>
      <c r="H1406" s="34">
        <f>(C1406*1.19469026548)+(0)</f>
        <v>26.522123893655998</v>
      </c>
      <c r="I1406" s="34">
        <f>(C1406*1.16814159292)+(-2)</f>
        <v>23.932743362824002</v>
      </c>
      <c r="J1406" s="34">
        <f>(C1406*1.1238938053)+(-3.9)</f>
        <v>21.050442477660003</v>
      </c>
      <c r="K1406" s="34">
        <f>(C1406*1.07964601769)+(-5.6)</f>
        <v>18.368141592717997</v>
      </c>
    </row>
    <row r="1407" spans="1:11" ht="19.95" customHeight="1" x14ac:dyDescent="0.25">
      <c r="A1407" s="13" t="str">
        <f>"17030"</f>
        <v>17030</v>
      </c>
      <c r="B1407" s="14" t="s">
        <v>1751</v>
      </c>
      <c r="C1407" s="13" t="str">
        <f>"31.0"</f>
        <v>31.0</v>
      </c>
      <c r="D1407" s="32">
        <f>(C1407*1.24778761061)+(0.4)</f>
        <v>39.081415928910005</v>
      </c>
      <c r="E1407" s="33">
        <f>(C1407*1.16814159292)+(-1)</f>
        <v>35.212389380520001</v>
      </c>
      <c r="F1407" s="33">
        <f>(C1407*1.1238938053)+(-4.4)</f>
        <v>30.440707964300003</v>
      </c>
      <c r="G1407" s="33">
        <f>(C1407*1.06194690265)+(-5.9)</f>
        <v>27.020353982149999</v>
      </c>
      <c r="H1407" s="34">
        <f>(C1407*1.19469026548)+(0)</f>
        <v>37.035398229880002</v>
      </c>
      <c r="I1407" s="34">
        <f>(C1407*1.16814159292)+(-2)</f>
        <v>34.212389380520001</v>
      </c>
      <c r="J1407" s="34">
        <f>(C1407*1.1238938053)+(-3.9)</f>
        <v>30.940707964300003</v>
      </c>
      <c r="K1407" s="34">
        <f>(C1407*1.07964601769)+(-5.6)</f>
        <v>27.869026548389996</v>
      </c>
    </row>
    <row r="1408" spans="1:11" ht="19.95" customHeight="1" x14ac:dyDescent="0.25">
      <c r="A1408" s="13" t="str">
        <f>"17031"</f>
        <v>17031</v>
      </c>
      <c r="B1408" s="14" t="s">
        <v>1752</v>
      </c>
      <c r="C1408" s="13" t="str">
        <f>"12.9"</f>
        <v>12.9</v>
      </c>
      <c r="D1408" s="32">
        <f>(C1408*1.24778761061)+(0.4)</f>
        <v>16.496460176869</v>
      </c>
      <c r="E1408" s="33">
        <f>(C1408*1.16814159292)+(-1)</f>
        <v>14.069026548668001</v>
      </c>
      <c r="F1408" s="33">
        <f>(C1408*1.1238938053)+(-4.4)</f>
        <v>10.09823008837</v>
      </c>
      <c r="G1408" s="33">
        <f>(C1408*1.06194690265)+(-5.9)</f>
        <v>7.7991150441849992</v>
      </c>
      <c r="H1408" s="34">
        <f>(C1408*1.19469026548)+(0)</f>
        <v>15.411504424692001</v>
      </c>
      <c r="I1408" s="34">
        <f>(C1408*1.16814159292)+(-2)</f>
        <v>13.069026548668001</v>
      </c>
      <c r="J1408" s="34">
        <f>(C1408*1.1238938053)+(-3.9)</f>
        <v>10.59823008837</v>
      </c>
      <c r="K1408" s="34">
        <f>(C1408*1.07964601769)+(-5.6)</f>
        <v>8.3274336282010015</v>
      </c>
    </row>
    <row r="1409" spans="1:11" ht="19.95" customHeight="1" x14ac:dyDescent="0.25">
      <c r="A1409" s="13" t="str">
        <f>"40059"</f>
        <v>40059</v>
      </c>
      <c r="B1409" s="14" t="s">
        <v>1753</v>
      </c>
      <c r="C1409" s="13" t="str">
        <f>"22.2"</f>
        <v>22.2</v>
      </c>
      <c r="D1409" s="32">
        <f>(C1409*1.24778761061)+(0.4)</f>
        <v>28.100884955542</v>
      </c>
      <c r="E1409" s="33">
        <f>(C1409*1.16814159292)+(-1)</f>
        <v>24.932743362824002</v>
      </c>
      <c r="F1409" s="33">
        <f>(C1409*1.1238938053)+(-4.4)</f>
        <v>20.550442477659999</v>
      </c>
      <c r="G1409" s="33">
        <f>(C1409*1.06194690265)+(-5.9)</f>
        <v>17.675221238829998</v>
      </c>
      <c r="H1409" s="34">
        <f>(C1409*1.19469026548)+(0)</f>
        <v>26.522123893655998</v>
      </c>
      <c r="I1409" s="34">
        <f>(C1409*1.16814159292)+(-2)</f>
        <v>23.932743362824002</v>
      </c>
      <c r="J1409" s="34">
        <f>(C1409*1.1238938053)+(-3.9)</f>
        <v>21.050442477660003</v>
      </c>
      <c r="K1409" s="34">
        <f>(C1409*1.07964601769)+(-5.6)</f>
        <v>18.368141592717997</v>
      </c>
    </row>
    <row r="1410" spans="1:11" ht="19.95" customHeight="1" x14ac:dyDescent="0.25">
      <c r="A1410" s="13" t="str">
        <f>"13651"</f>
        <v>13651</v>
      </c>
      <c r="B1410" s="14" t="s">
        <v>1754</v>
      </c>
      <c r="C1410" s="13" t="str">
        <f>"7.4"</f>
        <v>7.4</v>
      </c>
      <c r="D1410" s="32">
        <f>(C1410*1.24778761061)+(0.4)</f>
        <v>9.6336283185140008</v>
      </c>
      <c r="E1410" s="33">
        <f>(C1410*1.16814159292)+(-1)</f>
        <v>7.6442477876080002</v>
      </c>
      <c r="F1410" s="33">
        <f>(C1410*1.1238938053)+(-4.4)</f>
        <v>3.9168141592200012</v>
      </c>
      <c r="G1410" s="33">
        <f>(C1410*1.06194690265)+(-5.9)</f>
        <v>1.9584070796099997</v>
      </c>
      <c r="H1410" s="34">
        <f>(C1410*1.19469026548)+(0)</f>
        <v>8.840707964552001</v>
      </c>
      <c r="I1410" s="34">
        <f>(C1410*1.16814159292)+(-2)</f>
        <v>6.6442477876080002</v>
      </c>
      <c r="J1410" s="34">
        <f>(C1410*1.1238938053)+(-3.9)</f>
        <v>4.4168141592200012</v>
      </c>
      <c r="K1410" s="34">
        <f>(C1410*1.07964601769)+(-5.6)</f>
        <v>2.389380530906001</v>
      </c>
    </row>
    <row r="1411" spans="1:11" ht="19.95" customHeight="1" x14ac:dyDescent="0.25">
      <c r="A1411" s="13" t="str">
        <f>"65617"</f>
        <v>65617</v>
      </c>
      <c r="B1411" s="14" t="s">
        <v>1755</v>
      </c>
      <c r="C1411" s="13" t="str">
        <f>"15.8"</f>
        <v>15.8</v>
      </c>
      <c r="D1411" s="32">
        <f>(C1411*1.24778761061)+(0.4)</f>
        <v>20.115044247638</v>
      </c>
      <c r="E1411" s="33">
        <f>(C1411*1.16814159292)+(-1)</f>
        <v>17.456637168136002</v>
      </c>
      <c r="F1411" s="33">
        <f>(C1411*1.1238938053)+(-4.4)</f>
        <v>13.357522123740003</v>
      </c>
      <c r="G1411" s="33">
        <f>(C1411*1.06194690265)+(-5.9)</f>
        <v>10.87876106187</v>
      </c>
      <c r="H1411" s="34">
        <f>(C1411*1.19469026548)+(0)</f>
        <v>18.876106194584001</v>
      </c>
      <c r="I1411" s="34">
        <f>(C1411*1.16814159292)+(-2)</f>
        <v>16.456637168136002</v>
      </c>
      <c r="J1411" s="34">
        <f>(C1411*1.1238938053)+(-3.9)</f>
        <v>13.857522123740003</v>
      </c>
      <c r="K1411" s="34">
        <f>(C1411*1.07964601769)+(-5.6)</f>
        <v>11.458407079502001</v>
      </c>
    </row>
    <row r="1412" spans="1:11" ht="19.95" customHeight="1" x14ac:dyDescent="0.25">
      <c r="A1412" s="13" t="str">
        <f>"66889"</f>
        <v>66889</v>
      </c>
      <c r="B1412" s="14" t="s">
        <v>1756</v>
      </c>
      <c r="C1412" s="13" t="str">
        <f>"12.6"</f>
        <v>12.6</v>
      </c>
      <c r="D1412" s="32">
        <f>(C1412*1.24778761061)+(0.4)</f>
        <v>16.122123893686002</v>
      </c>
      <c r="E1412" s="33">
        <f>(C1412*1.16814159292)+(-1)</f>
        <v>13.718584070792001</v>
      </c>
      <c r="F1412" s="33">
        <f>(C1412*1.1238938053)+(-4.4)</f>
        <v>9.7610619467799999</v>
      </c>
      <c r="G1412" s="33">
        <f>(C1412*1.06194690265)+(-5.9)</f>
        <v>7.4805309733899978</v>
      </c>
      <c r="H1412" s="34">
        <f>(C1412*1.19469026548)+(0)</f>
        <v>15.053097345048</v>
      </c>
      <c r="I1412" s="34">
        <f>(C1412*1.16814159292)+(-2)</f>
        <v>12.718584070792001</v>
      </c>
      <c r="J1412" s="34">
        <f>(C1412*1.1238938053)+(-3.9)</f>
        <v>10.26106194678</v>
      </c>
      <c r="K1412" s="34">
        <f>(C1412*1.07964601769)+(-5.6)</f>
        <v>8.003539822894</v>
      </c>
    </row>
    <row r="1413" spans="1:11" ht="19.95" customHeight="1" x14ac:dyDescent="0.25">
      <c r="A1413" s="13" t="str">
        <f>"077682"</f>
        <v>077682</v>
      </c>
      <c r="B1413" s="14" t="s">
        <v>1757</v>
      </c>
      <c r="C1413" s="13" t="str">
        <f>"23.6"</f>
        <v>23.6</v>
      </c>
      <c r="D1413" s="32">
        <f>(C1413*1.24778761061)+(0.4)</f>
        <v>29.847787610396004</v>
      </c>
      <c r="E1413" s="33">
        <f>(C1413*1.16814159292)+(-1)</f>
        <v>26.568141592912003</v>
      </c>
      <c r="F1413" s="33">
        <f>(C1413*1.1238938053)+(-4.4)</f>
        <v>22.123893805080002</v>
      </c>
      <c r="G1413" s="33">
        <f>(C1413*1.06194690265)+(-5.9)</f>
        <v>19.161946902540002</v>
      </c>
      <c r="H1413" s="34">
        <f>(C1413*1.19469026548)+(0)</f>
        <v>28.194690265328003</v>
      </c>
      <c r="I1413" s="34">
        <f>(C1413*1.16814159292)+(-2)</f>
        <v>25.568141592912003</v>
      </c>
      <c r="J1413" s="34">
        <f>(C1413*1.1238938053)+(-3.9)</f>
        <v>22.623893805080005</v>
      </c>
      <c r="K1413" s="34">
        <f>(C1413*1.07964601769)+(-5.6)</f>
        <v>19.879646017483999</v>
      </c>
    </row>
    <row r="1414" spans="1:11" ht="19.95" customHeight="1" x14ac:dyDescent="0.25">
      <c r="A1414" s="13" t="str">
        <f>"17048"</f>
        <v>17048</v>
      </c>
      <c r="B1414" s="14" t="s">
        <v>1758</v>
      </c>
      <c r="C1414" s="13" t="str">
        <f>"16.3"</f>
        <v>16.3</v>
      </c>
      <c r="D1414" s="32">
        <f>(C1414*1.24778761061)+(0.4)</f>
        <v>20.738938052943002</v>
      </c>
      <c r="E1414" s="33">
        <f>(C1414*1.16814159292)+(-1)</f>
        <v>18.040707964596002</v>
      </c>
      <c r="F1414" s="33">
        <f>(C1414*1.1238938053)+(-4.4)</f>
        <v>13.919469026390002</v>
      </c>
      <c r="G1414" s="33">
        <f>(C1414*1.06194690265)+(-5.9)</f>
        <v>11.409734513195</v>
      </c>
      <c r="H1414" s="34">
        <f>(C1414*1.19469026548)+(0)</f>
        <v>19.473451327324</v>
      </c>
      <c r="I1414" s="34">
        <f>(C1414*1.16814159292)+(-2)</f>
        <v>17.040707964596002</v>
      </c>
      <c r="J1414" s="34">
        <f>(C1414*1.1238938053)+(-3.9)</f>
        <v>14.419469026390002</v>
      </c>
      <c r="K1414" s="34">
        <f>(C1414*1.07964601769)+(-5.6)</f>
        <v>11.998230088347002</v>
      </c>
    </row>
    <row r="1415" spans="1:11" ht="19.95" customHeight="1" x14ac:dyDescent="0.25">
      <c r="A1415" s="13" t="str">
        <f>"50070"</f>
        <v>50070</v>
      </c>
      <c r="B1415" s="14" t="s">
        <v>1759</v>
      </c>
      <c r="C1415" s="13" t="str">
        <f>"12.1"</f>
        <v>12.1</v>
      </c>
      <c r="D1415" s="32">
        <f>(C1415*1.24778761061)+(0.4)</f>
        <v>15.498230088381002</v>
      </c>
      <c r="E1415" s="33">
        <f>(C1415*1.16814159292)+(-1)</f>
        <v>13.134513274332001</v>
      </c>
      <c r="F1415" s="33">
        <f>(C1415*1.1238938053)+(-4.4)</f>
        <v>9.19911504413</v>
      </c>
      <c r="G1415" s="33">
        <f>(C1415*1.06194690265)+(-5.9)</f>
        <v>6.9495575220649979</v>
      </c>
      <c r="H1415" s="34">
        <f>(C1415*1.19469026548)+(0)</f>
        <v>14.455752212307999</v>
      </c>
      <c r="I1415" s="34">
        <f>(C1415*1.16814159292)+(-2)</f>
        <v>12.134513274332001</v>
      </c>
      <c r="J1415" s="34">
        <f>(C1415*1.1238938053)+(-3.9)</f>
        <v>9.69911504413</v>
      </c>
      <c r="K1415" s="34">
        <f>(C1415*1.07964601769)+(-5.6)</f>
        <v>7.4637168140490004</v>
      </c>
    </row>
    <row r="1416" spans="1:11" ht="19.95" customHeight="1" x14ac:dyDescent="0.25">
      <c r="A1416" s="13" t="str">
        <f>"1006320"</f>
        <v>1006320</v>
      </c>
      <c r="B1416" s="14" t="s">
        <v>1760</v>
      </c>
      <c r="C1416" s="13" t="str">
        <f>"36.6"</f>
        <v>36.6</v>
      </c>
      <c r="D1416" s="32">
        <f>(C1416*1.24778761061)+(0.4)</f>
        <v>46.069026548326001</v>
      </c>
      <c r="E1416" s="33">
        <f>(C1416*1.16814159292)+(-1)</f>
        <v>41.753982300872003</v>
      </c>
      <c r="F1416" s="33">
        <f>(C1416*1.1238938053)+(-4.4)</f>
        <v>36.734513273980006</v>
      </c>
      <c r="G1416" s="33">
        <f>(C1416*1.06194690265)+(-5.9)</f>
        <v>32.967256636990001</v>
      </c>
      <c r="H1416" s="34">
        <f>(C1416*1.19469026548)+(0)</f>
        <v>43.725663716568</v>
      </c>
      <c r="I1416" s="34">
        <f>(C1416*1.16814159292)+(-2)</f>
        <v>40.753982300872003</v>
      </c>
      <c r="J1416" s="34">
        <f>(C1416*1.1238938053)+(-3.9)</f>
        <v>37.234513273980006</v>
      </c>
      <c r="K1416" s="34">
        <f>(C1416*1.07964601769)+(-5.6)</f>
        <v>33.915044247453999</v>
      </c>
    </row>
    <row r="1417" spans="1:11" ht="19.95" customHeight="1" x14ac:dyDescent="0.25">
      <c r="A1417" s="13" t="str">
        <f>"17051"</f>
        <v>17051</v>
      </c>
      <c r="B1417" s="14" t="s">
        <v>1761</v>
      </c>
      <c r="C1417" s="13" t="str">
        <f>"15.3"</f>
        <v>15.3</v>
      </c>
      <c r="D1417" s="32">
        <f>(C1417*1.24778761061)+(0.4)</f>
        <v>19.491150442333002</v>
      </c>
      <c r="E1417" s="33">
        <f>(C1417*1.16814159292)+(-1)</f>
        <v>16.872566371676001</v>
      </c>
      <c r="F1417" s="33">
        <f>(C1417*1.1238938053)+(-4.4)</f>
        <v>12.795575221090003</v>
      </c>
      <c r="G1417" s="33">
        <f>(C1417*1.06194690265)+(-5.9)</f>
        <v>10.347787610545</v>
      </c>
      <c r="H1417" s="34">
        <f>(C1417*1.19469026548)+(0)</f>
        <v>18.278761061844001</v>
      </c>
      <c r="I1417" s="34">
        <f>(C1417*1.16814159292)+(-2)</f>
        <v>15.872566371676001</v>
      </c>
      <c r="J1417" s="34">
        <f>(C1417*1.1238938053)+(-3.9)</f>
        <v>13.295575221090003</v>
      </c>
      <c r="K1417" s="34">
        <f>(C1417*1.07964601769)+(-5.6)</f>
        <v>10.918584070657003</v>
      </c>
    </row>
    <row r="1418" spans="1:11" ht="19.95" customHeight="1" x14ac:dyDescent="0.25">
      <c r="A1418" s="13" t="str">
        <f>"17053"</f>
        <v>17053</v>
      </c>
      <c r="B1418" s="14" t="s">
        <v>1762</v>
      </c>
      <c r="C1418" s="13" t="str">
        <f>"15.4"</f>
        <v>15.4</v>
      </c>
      <c r="D1418" s="32">
        <f>(C1418*1.24778761061)+(0.4)</f>
        <v>19.615929203394</v>
      </c>
      <c r="E1418" s="33">
        <f>(C1418*1.16814159292)+(-1)</f>
        <v>16.989380530968003</v>
      </c>
      <c r="F1418" s="33">
        <f>(C1418*1.1238938053)+(-4.4)</f>
        <v>12.90796460162</v>
      </c>
      <c r="G1418" s="33">
        <f>(C1418*1.06194690265)+(-5.9)</f>
        <v>10.453982300809999</v>
      </c>
      <c r="H1418" s="34">
        <f>(C1418*1.19469026548)+(0)</f>
        <v>18.398230088392001</v>
      </c>
      <c r="I1418" s="34">
        <f>(C1418*1.16814159292)+(-2)</f>
        <v>15.989380530968003</v>
      </c>
      <c r="J1418" s="34">
        <f>(C1418*1.1238938053)+(-3.9)</f>
        <v>13.40796460162</v>
      </c>
      <c r="K1418" s="34">
        <f>(C1418*1.07964601769)+(-5.6)</f>
        <v>11.026548672426001</v>
      </c>
    </row>
    <row r="1419" spans="1:11" ht="19.95" customHeight="1" x14ac:dyDescent="0.25">
      <c r="A1419" s="13" t="str">
        <f>"17054"</f>
        <v>17054</v>
      </c>
      <c r="B1419" s="14" t="s">
        <v>1763</v>
      </c>
      <c r="C1419" s="13" t="str">
        <f>"23.8"</f>
        <v>23.8</v>
      </c>
      <c r="D1419" s="32">
        <f>(C1419*1.24778761061)+(0.4)</f>
        <v>30.097345132518001</v>
      </c>
      <c r="E1419" s="33">
        <f>(C1419*1.16814159292)+(-1)</f>
        <v>26.801769911496002</v>
      </c>
      <c r="F1419" s="33">
        <f>(C1419*1.1238938053)+(-4.4)</f>
        <v>22.348672566140003</v>
      </c>
      <c r="G1419" s="33">
        <f>(C1419*1.06194690265)+(-5.9)</f>
        <v>19.374336283070001</v>
      </c>
      <c r="H1419" s="34">
        <f>(C1419*1.19469026548)+(0)</f>
        <v>28.433628318424002</v>
      </c>
      <c r="I1419" s="34">
        <f>(C1419*1.16814159292)+(-2)</f>
        <v>25.801769911496002</v>
      </c>
      <c r="J1419" s="34">
        <f>(C1419*1.1238938053)+(-3.9)</f>
        <v>22.848672566140003</v>
      </c>
      <c r="K1419" s="34">
        <f>(C1419*1.07964601769)+(-5.6)</f>
        <v>20.095575221022003</v>
      </c>
    </row>
    <row r="1420" spans="1:11" ht="19.95" customHeight="1" x14ac:dyDescent="0.25">
      <c r="A1420" s="13" t="str">
        <f>"41042"</f>
        <v>41042</v>
      </c>
      <c r="B1420" s="14" t="s">
        <v>1764</v>
      </c>
      <c r="C1420" s="13" t="str">
        <f>"20.2"</f>
        <v>20.2</v>
      </c>
      <c r="D1420" s="32">
        <f>(C1420*1.24778761061)+(0.4)</f>
        <v>25.605309734321999</v>
      </c>
      <c r="E1420" s="33">
        <f>(C1420*1.16814159292)+(-1)</f>
        <v>22.596460176983999</v>
      </c>
      <c r="F1420" s="33">
        <f>(C1420*1.1238938053)+(-4.4)</f>
        <v>18.302654867059999</v>
      </c>
      <c r="G1420" s="33">
        <f>(C1420*1.06194690265)+(-5.9)</f>
        <v>15.551327433529996</v>
      </c>
      <c r="H1420" s="34">
        <f>(C1420*1.19469026548)+(0)</f>
        <v>24.132743362696001</v>
      </c>
      <c r="I1420" s="34">
        <f>(C1420*1.16814159292)+(-2)</f>
        <v>21.596460176983999</v>
      </c>
      <c r="J1420" s="34">
        <f>(C1420*1.1238938053)+(-3.9)</f>
        <v>18.802654867060003</v>
      </c>
      <c r="K1420" s="34">
        <f>(C1420*1.07964601769)+(-5.6)</f>
        <v>16.208849557337999</v>
      </c>
    </row>
    <row r="1421" spans="1:11" ht="19.95" customHeight="1" x14ac:dyDescent="0.25">
      <c r="A1421" s="13" t="str">
        <f>"3179"</f>
        <v>3179</v>
      </c>
      <c r="B1421" s="14" t="s">
        <v>1765</v>
      </c>
      <c r="C1421" s="13" t="str">
        <f>"11.9"</f>
        <v>11.9</v>
      </c>
      <c r="D1421" s="32">
        <f>(C1421*1.24778761061)+(0.4)</f>
        <v>15.248672566259001</v>
      </c>
      <c r="E1421" s="33">
        <f>(C1421*1.16814159292)+(-1)</f>
        <v>12.900884955748001</v>
      </c>
      <c r="F1421" s="33">
        <f>(C1421*1.1238938053)+(-4.4)</f>
        <v>8.9743362830700004</v>
      </c>
      <c r="G1421" s="33">
        <f>(C1421*1.06194690265)+(-5.9)</f>
        <v>6.7371681415349993</v>
      </c>
      <c r="H1421" s="34">
        <f>(C1421*1.19469026548)+(0)</f>
        <v>14.216814159212001</v>
      </c>
      <c r="I1421" s="34">
        <f>(C1421*1.16814159292)+(-2)</f>
        <v>11.900884955748001</v>
      </c>
      <c r="J1421" s="34">
        <f>(C1421*1.1238938053)+(-3.9)</f>
        <v>9.4743362830700004</v>
      </c>
      <c r="K1421" s="34">
        <f>(C1421*1.07964601769)+(-5.6)</f>
        <v>7.2477876105110006</v>
      </c>
    </row>
    <row r="1422" spans="1:11" ht="19.95" customHeight="1" x14ac:dyDescent="0.25">
      <c r="A1422" s="13" t="str">
        <f>"17057"</f>
        <v>17057</v>
      </c>
      <c r="B1422" s="14" t="s">
        <v>1766</v>
      </c>
      <c r="C1422" s="13" t="str">
        <f>"30.4"</f>
        <v>30.4</v>
      </c>
      <c r="D1422" s="32">
        <f>(C1422*1.24778761061)+(0.4)</f>
        <v>38.332743362544001</v>
      </c>
      <c r="E1422" s="33">
        <f>(C1422*1.16814159292)+(-1)</f>
        <v>34.511504424767999</v>
      </c>
      <c r="F1422" s="33">
        <f>(C1422*1.1238938053)+(-4.4)</f>
        <v>29.766371681119999</v>
      </c>
      <c r="G1422" s="33">
        <f>(C1422*1.06194690265)+(-5.9)</f>
        <v>26.383185840559996</v>
      </c>
      <c r="H1422" s="34">
        <f>(C1422*1.19469026548)+(0)</f>
        <v>36.318584070591996</v>
      </c>
      <c r="I1422" s="34">
        <f>(C1422*1.16814159292)+(-2)</f>
        <v>33.511504424767999</v>
      </c>
      <c r="J1422" s="34">
        <f>(C1422*1.1238938053)+(-3.9)</f>
        <v>30.266371681119999</v>
      </c>
      <c r="K1422" s="34">
        <f>(C1422*1.07964601769)+(-5.6)</f>
        <v>27.221238937776</v>
      </c>
    </row>
    <row r="1423" spans="1:11" ht="19.95" customHeight="1" x14ac:dyDescent="0.25">
      <c r="A1423" s="13" t="str">
        <f>"77371"</f>
        <v>77371</v>
      </c>
      <c r="B1423" s="14" t="s">
        <v>1767</v>
      </c>
      <c r="C1423" s="13" t="str">
        <f>"19.3"</f>
        <v>19.3</v>
      </c>
      <c r="D1423" s="32">
        <f>(C1423*1.24778761061)+(0.4)</f>
        <v>24.482300884773</v>
      </c>
      <c r="E1423" s="33">
        <f>(C1423*1.16814159292)+(-1)</f>
        <v>21.545132743356003</v>
      </c>
      <c r="F1423" s="33">
        <f>(C1423*1.1238938053)+(-4.4)</f>
        <v>17.291150442290004</v>
      </c>
      <c r="G1423" s="33">
        <f>(C1423*1.06194690265)+(-5.9)</f>
        <v>14.595575221144999</v>
      </c>
      <c r="H1423" s="34">
        <f>(C1423*1.19469026548)+(0)</f>
        <v>23.057522123764002</v>
      </c>
      <c r="I1423" s="34">
        <f>(C1423*1.16814159292)+(-2)</f>
        <v>20.545132743356003</v>
      </c>
      <c r="J1423" s="34">
        <f>(C1423*1.1238938053)+(-3.9)</f>
        <v>17.791150442290004</v>
      </c>
      <c r="K1423" s="34">
        <f>(C1423*1.07964601769)+(-5.6)</f>
        <v>15.237168141417003</v>
      </c>
    </row>
    <row r="1424" spans="1:11" ht="19.95" customHeight="1" x14ac:dyDescent="0.25">
      <c r="A1424" s="13" t="str">
        <f>"1006813"</f>
        <v>1006813</v>
      </c>
      <c r="B1424" s="14" t="s">
        <v>1768</v>
      </c>
      <c r="C1424" s="13" t="str">
        <f>"14.9"</f>
        <v>14.9</v>
      </c>
      <c r="D1424" s="32">
        <f>(C1424*1.24778761061)+(0.4)</f>
        <v>18.992035398089001</v>
      </c>
      <c r="E1424" s="33">
        <f>(C1424*1.16814159292)+(-1)</f>
        <v>16.405309734508002</v>
      </c>
      <c r="F1424" s="33">
        <f>(C1424*1.1238938053)+(-4.4)</f>
        <v>12.34601769897</v>
      </c>
      <c r="G1424" s="33">
        <f>(C1424*1.06194690265)+(-5.9)</f>
        <v>9.9230088494849991</v>
      </c>
      <c r="H1424" s="34">
        <f>(C1424*1.19469026548)+(0)</f>
        <v>17.800884955652002</v>
      </c>
      <c r="I1424" s="34">
        <f>(C1424*1.16814159292)+(-2)</f>
        <v>15.405309734508002</v>
      </c>
      <c r="J1424" s="34">
        <f>(C1424*1.1238938053)+(-3.9)</f>
        <v>12.84601769897</v>
      </c>
      <c r="K1424" s="34">
        <f>(C1424*1.07964601769)+(-5.6)</f>
        <v>10.486725663581</v>
      </c>
    </row>
    <row r="1425" spans="1:11" ht="19.95" customHeight="1" x14ac:dyDescent="0.25">
      <c r="A1425" s="13" t="str">
        <f>"17060"</f>
        <v>17060</v>
      </c>
      <c r="B1425" s="14" t="s">
        <v>1769</v>
      </c>
      <c r="C1425" s="13" t="str">
        <f>"32.7"</f>
        <v>32.7</v>
      </c>
      <c r="D1425" s="32">
        <f>(C1425*1.24778761061)+(0.4)</f>
        <v>41.202654866947007</v>
      </c>
      <c r="E1425" s="33">
        <f>(C1425*1.16814159292)+(-1)</f>
        <v>37.198230088484003</v>
      </c>
      <c r="F1425" s="33">
        <f>(C1425*1.1238938053)+(-4.4)</f>
        <v>32.351327433310004</v>
      </c>
      <c r="G1425" s="33">
        <f>(C1425*1.06194690265)+(-5.9)</f>
        <v>28.825663716655001</v>
      </c>
      <c r="H1425" s="34">
        <f>(C1425*1.19469026548)+(0)</f>
        <v>39.066371681196003</v>
      </c>
      <c r="I1425" s="34">
        <f>(C1425*1.16814159292)+(-2)</f>
        <v>36.198230088484003</v>
      </c>
      <c r="J1425" s="34">
        <f>(C1425*1.1238938053)+(-3.9)</f>
        <v>32.851327433310004</v>
      </c>
      <c r="K1425" s="34">
        <f>(C1425*1.07964601769)+(-5.6)</f>
        <v>29.704424778463</v>
      </c>
    </row>
    <row r="1426" spans="1:11" ht="19.95" customHeight="1" x14ac:dyDescent="0.25">
      <c r="A1426" s="13" t="str">
        <f>"17062"</f>
        <v>17062</v>
      </c>
      <c r="B1426" s="14" t="s">
        <v>1770</v>
      </c>
      <c r="C1426" s="13" t="str">
        <f>"20.8"</f>
        <v>20.8</v>
      </c>
      <c r="D1426" s="32">
        <f>(C1426*1.24778761061)+(0.4)</f>
        <v>26.353982300688003</v>
      </c>
      <c r="E1426" s="33">
        <f>(C1426*1.16814159292)+(-1)</f>
        <v>23.297345132736002</v>
      </c>
      <c r="F1426" s="33">
        <f>(C1426*1.1238938053)+(-4.4)</f>
        <v>18.976991150240003</v>
      </c>
      <c r="G1426" s="33">
        <f>(C1426*1.06194690265)+(-5.9)</f>
        <v>16.188495575120001</v>
      </c>
      <c r="H1426" s="34">
        <f>(C1426*1.19469026548)+(0)</f>
        <v>24.849557521984</v>
      </c>
      <c r="I1426" s="34">
        <f>(C1426*1.16814159292)+(-2)</f>
        <v>22.297345132736002</v>
      </c>
      <c r="J1426" s="34">
        <f>(C1426*1.1238938053)+(-3.9)</f>
        <v>19.476991150240003</v>
      </c>
      <c r="K1426" s="34">
        <f>(C1426*1.07964601769)+(-5.6)</f>
        <v>16.856637167952002</v>
      </c>
    </row>
    <row r="1427" spans="1:11" ht="19.95" customHeight="1" x14ac:dyDescent="0.25">
      <c r="A1427" s="13" t="str">
        <f>"46333"</f>
        <v>46333</v>
      </c>
      <c r="B1427" s="14" t="s">
        <v>1771</v>
      </c>
      <c r="C1427" s="13" t="str">
        <f>"5.8"</f>
        <v>5.8</v>
      </c>
      <c r="D1427" s="32">
        <f>(C1427*1.24778761061)+(0.4)</f>
        <v>7.6371681415380008</v>
      </c>
      <c r="E1427" s="33">
        <f>(C1427*1.16814159292)+(-1)</f>
        <v>5.775221238936</v>
      </c>
      <c r="F1427" s="33">
        <f>(C1427*1.1238938053)+(-4.4)</f>
        <v>2.1185840707399999</v>
      </c>
      <c r="G1427" s="33">
        <f>(C1427*1.06194690265)+(-5.9)</f>
        <v>0.25929203536999879</v>
      </c>
      <c r="H1427" s="34">
        <f>(C1427*1.19469026548)+(0)</f>
        <v>6.9292035397839999</v>
      </c>
      <c r="I1427" s="34">
        <f>(C1427*1.16814159292)+(-2)</f>
        <v>4.775221238936</v>
      </c>
      <c r="J1427" s="34">
        <f>(C1427*1.1238938053)+(-3.9)</f>
        <v>2.6185840707400003</v>
      </c>
      <c r="K1427" s="34">
        <f>(C1427*1.07964601769)+(-5.6)</f>
        <v>0.66194690260200062</v>
      </c>
    </row>
    <row r="1428" spans="1:11" ht="19.95" customHeight="1" x14ac:dyDescent="0.25">
      <c r="A1428" s="13" t="str">
        <f>"17064"</f>
        <v>17064</v>
      </c>
      <c r="B1428" s="14" t="s">
        <v>1772</v>
      </c>
      <c r="C1428" s="13" t="str">
        <f>"33.5"</f>
        <v>33.5</v>
      </c>
      <c r="D1428" s="32">
        <f>(C1428*1.24778761061)+(0.4)</f>
        <v>42.200884955435001</v>
      </c>
      <c r="E1428" s="33">
        <f>(C1428*1.16814159292)+(-1)</f>
        <v>38.132743362820001</v>
      </c>
      <c r="F1428" s="33">
        <f>(C1428*1.1238938053)+(-4.4)</f>
        <v>33.250442477550003</v>
      </c>
      <c r="G1428" s="33">
        <f>(C1428*1.06194690265)+(-5.9)</f>
        <v>29.675221238775002</v>
      </c>
      <c r="H1428" s="34">
        <f>(C1428*1.19469026548)+(0)</f>
        <v>40.022123893580002</v>
      </c>
      <c r="I1428" s="34">
        <f>(C1428*1.16814159292)+(-2)</f>
        <v>37.132743362820001</v>
      </c>
      <c r="J1428" s="34">
        <f>(C1428*1.1238938053)+(-3.9)</f>
        <v>33.750442477550003</v>
      </c>
      <c r="K1428" s="34">
        <f>(C1428*1.07964601769)+(-5.6)</f>
        <v>30.568141592615</v>
      </c>
    </row>
    <row r="1429" spans="1:11" ht="19.95" customHeight="1" x14ac:dyDescent="0.25">
      <c r="A1429" s="13" t="str">
        <f>"1009868"</f>
        <v>1009868</v>
      </c>
      <c r="B1429" s="14" t="s">
        <v>1773</v>
      </c>
      <c r="C1429" s="13" t="str">
        <f>"20.3"</f>
        <v>20.3</v>
      </c>
      <c r="D1429" s="32">
        <f>(C1429*1.24778761061)+(0.4)</f>
        <v>25.730088495383001</v>
      </c>
      <c r="E1429" s="33">
        <f>(C1429*1.16814159292)+(-1)</f>
        <v>22.713274336276001</v>
      </c>
      <c r="F1429" s="33">
        <f>(C1429*1.1238938053)+(-4.4)</f>
        <v>18.415044247590004</v>
      </c>
      <c r="G1429" s="33">
        <f>(C1429*1.06194690265)+(-5.9)</f>
        <v>15.657522123794999</v>
      </c>
      <c r="H1429" s="34">
        <f>(C1429*1.19469026548)+(0)</f>
        <v>24.252212389244001</v>
      </c>
      <c r="I1429" s="34">
        <f>(C1429*1.16814159292)+(-2)</f>
        <v>21.713274336276001</v>
      </c>
      <c r="J1429" s="34">
        <f>(C1429*1.1238938053)+(-3.9)</f>
        <v>18.915044247590004</v>
      </c>
      <c r="K1429" s="34">
        <f>(C1429*1.07964601769)+(-5.6)</f>
        <v>16.316814159107004</v>
      </c>
    </row>
    <row r="1430" spans="1:11" ht="19.95" customHeight="1" x14ac:dyDescent="0.25">
      <c r="A1430" s="13" t="str">
        <f>"17068"</f>
        <v>17068</v>
      </c>
      <c r="B1430" s="14" t="s">
        <v>1774</v>
      </c>
      <c r="C1430" s="13" t="str">
        <f>"24.6"</f>
        <v>24.6</v>
      </c>
      <c r="D1430" s="32">
        <f>(C1430*1.24778761061)+(0.4)</f>
        <v>31.095575221006001</v>
      </c>
      <c r="E1430" s="33">
        <f>(C1430*1.16814159292)+(-1)</f>
        <v>27.736283185832004</v>
      </c>
      <c r="F1430" s="33">
        <f>(C1430*1.1238938053)+(-4.4)</f>
        <v>23.247787610380001</v>
      </c>
      <c r="G1430" s="33">
        <f>(C1430*1.06194690265)+(-5.9)</f>
        <v>20.223893805190002</v>
      </c>
      <c r="H1430" s="34">
        <f>(C1430*1.19469026548)+(0)</f>
        <v>29.389380530808001</v>
      </c>
      <c r="I1430" s="34">
        <f>(C1430*1.16814159292)+(-2)</f>
        <v>26.736283185832004</v>
      </c>
      <c r="J1430" s="34">
        <f>(C1430*1.1238938053)+(-3.9)</f>
        <v>23.747787610380005</v>
      </c>
      <c r="K1430" s="34">
        <f>(C1430*1.07964601769)+(-5.6)</f>
        <v>20.959292035174002</v>
      </c>
    </row>
    <row r="1431" spans="1:11" ht="19.95" customHeight="1" x14ac:dyDescent="0.25">
      <c r="A1431" s="13" t="str">
        <f>"16439"</f>
        <v>16439</v>
      </c>
      <c r="B1431" s="14" t="s">
        <v>1775</v>
      </c>
      <c r="C1431" s="13" t="str">
        <f>"26.2"</f>
        <v>26.2</v>
      </c>
      <c r="D1431" s="32">
        <f>(C1431*1.24778761061)+(0.4)</f>
        <v>33.092035397982002</v>
      </c>
      <c r="E1431" s="33">
        <f>(C1431*1.16814159292)+(-1)</f>
        <v>29.605309734504001</v>
      </c>
      <c r="F1431" s="33">
        <f>(C1431*1.1238938053)+(-4.4)</f>
        <v>25.046017698859998</v>
      </c>
      <c r="G1431" s="33">
        <f>(C1431*1.06194690265)+(-5.9)</f>
        <v>21.923008849429998</v>
      </c>
      <c r="H1431" s="34">
        <f>(C1431*1.19469026548)+(0)</f>
        <v>31.300884955575999</v>
      </c>
      <c r="I1431" s="34">
        <f>(C1431*1.16814159292)+(-2)</f>
        <v>28.605309734504001</v>
      </c>
      <c r="J1431" s="34">
        <f>(C1431*1.1238938053)+(-3.9)</f>
        <v>25.546017698860002</v>
      </c>
      <c r="K1431" s="34">
        <f>(C1431*1.07964601769)+(-5.6)</f>
        <v>22.686725663478001</v>
      </c>
    </row>
    <row r="1432" spans="1:11" ht="19.95" customHeight="1" x14ac:dyDescent="0.25">
      <c r="A1432" s="13" t="str">
        <f>"71461"</f>
        <v>71461</v>
      </c>
      <c r="B1432" s="14" t="s">
        <v>1776</v>
      </c>
      <c r="C1432" s="13" t="str">
        <f>"9.1"</f>
        <v>9.1</v>
      </c>
      <c r="D1432" s="32">
        <f>(C1432*1.24778761061)+(0.4)</f>
        <v>11.754867256551</v>
      </c>
      <c r="E1432" s="33">
        <f>(C1432*1.16814159292)+(-1)</f>
        <v>9.6300884955720001</v>
      </c>
      <c r="F1432" s="33">
        <f>(C1432*1.1238938053)+(-4.4)</f>
        <v>5.8274336282300006</v>
      </c>
      <c r="G1432" s="33">
        <f>(C1432*1.06194690265)+(-5.9)</f>
        <v>3.7637168141149981</v>
      </c>
      <c r="H1432" s="34">
        <f>(C1432*1.19469026548)+(0)</f>
        <v>10.871681415868</v>
      </c>
      <c r="I1432" s="34">
        <f>(C1432*1.16814159292)+(-2)</f>
        <v>8.6300884955720001</v>
      </c>
      <c r="J1432" s="34">
        <f>(C1432*1.1238938053)+(-3.9)</f>
        <v>6.3274336282300006</v>
      </c>
      <c r="K1432" s="34">
        <f>(C1432*1.07964601769)+(-5.6)</f>
        <v>4.2247787609789995</v>
      </c>
    </row>
    <row r="1433" spans="1:11" ht="19.95" customHeight="1" x14ac:dyDescent="0.25">
      <c r="A1433" s="13" t="str">
        <f>"17074"</f>
        <v>17074</v>
      </c>
      <c r="B1433" s="14" t="s">
        <v>1777</v>
      </c>
      <c r="C1433" s="13" t="str">
        <f>"16.5"</f>
        <v>16.5</v>
      </c>
      <c r="D1433" s="32">
        <f>(C1433*1.24778761061)+(0.4)</f>
        <v>20.988495575064999</v>
      </c>
      <c r="E1433" s="33">
        <f>(C1433*1.16814159292)+(-1)</f>
        <v>18.274336283180002</v>
      </c>
      <c r="F1433" s="33">
        <f>(C1433*1.1238938053)+(-4.4)</f>
        <v>14.14424778745</v>
      </c>
      <c r="G1433" s="33">
        <f>(C1433*1.06194690265)+(-5.9)</f>
        <v>11.622123893724998</v>
      </c>
      <c r="H1433" s="34">
        <f>(C1433*1.19469026548)+(0)</f>
        <v>19.712389380419999</v>
      </c>
      <c r="I1433" s="34">
        <f>(C1433*1.16814159292)+(-2)</f>
        <v>17.274336283180002</v>
      </c>
      <c r="J1433" s="34">
        <f>(C1433*1.1238938053)+(-3.9)</f>
        <v>14.64424778745</v>
      </c>
      <c r="K1433" s="34">
        <f>(C1433*1.07964601769)+(-5.6)</f>
        <v>12.214159291885002</v>
      </c>
    </row>
    <row r="1434" spans="1:11" ht="19.95" customHeight="1" x14ac:dyDescent="0.25">
      <c r="A1434" s="13" t="str">
        <f>"33175"</f>
        <v>33175</v>
      </c>
      <c r="B1434" s="14" t="s">
        <v>1778</v>
      </c>
      <c r="C1434" s="13" t="str">
        <f>"12.1"</f>
        <v>12.1</v>
      </c>
      <c r="D1434" s="32">
        <f>(C1434*1.24778761061)+(0.4)</f>
        <v>15.498230088381002</v>
      </c>
      <c r="E1434" s="33">
        <f>(C1434*1.16814159292)+(-1)</f>
        <v>13.134513274332001</v>
      </c>
      <c r="F1434" s="33">
        <f>(C1434*1.1238938053)+(-4.4)</f>
        <v>9.19911504413</v>
      </c>
      <c r="G1434" s="33">
        <f>(C1434*1.06194690265)+(-5.9)</f>
        <v>6.9495575220649979</v>
      </c>
      <c r="H1434" s="34">
        <f>(C1434*1.19469026548)+(0)</f>
        <v>14.455752212307999</v>
      </c>
      <c r="I1434" s="34">
        <f>(C1434*1.16814159292)+(-2)</f>
        <v>12.134513274332001</v>
      </c>
      <c r="J1434" s="34">
        <f>(C1434*1.1238938053)+(-3.9)</f>
        <v>9.69911504413</v>
      </c>
      <c r="K1434" s="34">
        <f>(C1434*1.07964601769)+(-5.6)</f>
        <v>7.4637168140490004</v>
      </c>
    </row>
    <row r="1435" spans="1:11" ht="19.95" customHeight="1" x14ac:dyDescent="0.25">
      <c r="A1435" s="13" t="str">
        <f>"4033"</f>
        <v>4033</v>
      </c>
      <c r="B1435" s="14" t="s">
        <v>1779</v>
      </c>
      <c r="C1435" s="13" t="str">
        <f>"4.0"</f>
        <v>4.0</v>
      </c>
      <c r="D1435" s="32">
        <f>(C1435*1.24778761061)+(0.4)</f>
        <v>5.3911504424400007</v>
      </c>
      <c r="E1435" s="33">
        <f>(C1435*1.16814159292)+(-1)</f>
        <v>3.6725663716800003</v>
      </c>
      <c r="F1435" s="33">
        <f>(C1435*1.1238938053)+(-4.4)</f>
        <v>9.5575221199999838E-2</v>
      </c>
      <c r="G1435" s="33">
        <f>(C1435*1.06194690265)+(-5.9)</f>
        <v>-1.6522123894000007</v>
      </c>
      <c r="H1435" s="34">
        <f>(C1435*1.19469026548)+(0)</f>
        <v>4.7787610619200001</v>
      </c>
      <c r="I1435" s="34">
        <f>(C1435*1.16814159292)+(-2)</f>
        <v>2.6725663716800003</v>
      </c>
      <c r="J1435" s="34">
        <f>(C1435*1.1238938053)+(-3.9)</f>
        <v>0.59557522120000028</v>
      </c>
      <c r="K1435" s="34">
        <f>(C1435*1.07964601769)+(-5.6)</f>
        <v>-1.2814159292399996</v>
      </c>
    </row>
    <row r="1436" spans="1:11" ht="19.95" customHeight="1" x14ac:dyDescent="0.25">
      <c r="A1436" s="13" t="str">
        <f>"6900"</f>
        <v>6900</v>
      </c>
      <c r="B1436" s="14" t="s">
        <v>1780</v>
      </c>
      <c r="C1436" s="13" t="str">
        <f>"28.8"</f>
        <v>28.8</v>
      </c>
      <c r="D1436" s="32">
        <f>(C1436*1.24778761061)+(0.4)</f>
        <v>36.336283185568</v>
      </c>
      <c r="E1436" s="33">
        <f>(C1436*1.16814159292)+(-1)</f>
        <v>32.642477876096002</v>
      </c>
      <c r="F1436" s="33">
        <f>(C1436*1.1238938053)+(-4.4)</f>
        <v>27.968141592640002</v>
      </c>
      <c r="G1436" s="33">
        <f>(C1436*1.06194690265)+(-5.9)</f>
        <v>24.68407079632</v>
      </c>
      <c r="H1436" s="34">
        <f>(C1436*1.19469026548)+(0)</f>
        <v>34.407079645823998</v>
      </c>
      <c r="I1436" s="34">
        <f>(C1436*1.16814159292)+(-2)</f>
        <v>31.642477876096002</v>
      </c>
      <c r="J1436" s="34">
        <f>(C1436*1.1238938053)+(-3.9)</f>
        <v>28.468141592640002</v>
      </c>
      <c r="K1436" s="34">
        <f>(C1436*1.07964601769)+(-5.6)</f>
        <v>25.493805309472002</v>
      </c>
    </row>
    <row r="1437" spans="1:11" ht="19.95" customHeight="1" x14ac:dyDescent="0.25">
      <c r="A1437" s="13" t="str">
        <f>"17079"</f>
        <v>17079</v>
      </c>
      <c r="B1437" s="14" t="s">
        <v>1781</v>
      </c>
      <c r="C1437" s="13" t="str">
        <f>"25.8"</f>
        <v>25.8</v>
      </c>
      <c r="D1437" s="32">
        <f>(C1437*1.24778761061)+(0.4)</f>
        <v>32.592920353738002</v>
      </c>
      <c r="E1437" s="33">
        <f>(C1437*1.16814159292)+(-1)</f>
        <v>29.138053097336002</v>
      </c>
      <c r="F1437" s="33">
        <f>(C1437*1.1238938053)+(-4.4)</f>
        <v>24.596460176740003</v>
      </c>
      <c r="G1437" s="33">
        <f>(C1437*1.06194690265)+(-5.9)</f>
        <v>21.498230088370001</v>
      </c>
      <c r="H1437" s="34">
        <f>(C1437*1.19469026548)+(0)</f>
        <v>30.823008849384003</v>
      </c>
      <c r="I1437" s="34">
        <f>(C1437*1.16814159292)+(-2)</f>
        <v>28.138053097336002</v>
      </c>
      <c r="J1437" s="34">
        <f>(C1437*1.1238938053)+(-3.9)</f>
        <v>25.096460176740003</v>
      </c>
      <c r="K1437" s="34">
        <f>(C1437*1.07964601769)+(-5.6)</f>
        <v>22.254867256402001</v>
      </c>
    </row>
    <row r="1438" spans="1:11" ht="19.95" customHeight="1" x14ac:dyDescent="0.25">
      <c r="A1438" s="13" t="str">
        <f>"73091"</f>
        <v>73091</v>
      </c>
      <c r="B1438" s="14" t="s">
        <v>1782</v>
      </c>
      <c r="C1438" s="13" t="str">
        <f>"15.1"</f>
        <v>15.1</v>
      </c>
      <c r="D1438" s="32">
        <f>(C1438*1.24778761061)+(0.4)</f>
        <v>19.241592920210998</v>
      </c>
      <c r="E1438" s="33">
        <f>(C1438*1.16814159292)+(-1)</f>
        <v>16.638938053092001</v>
      </c>
      <c r="F1438" s="33">
        <f>(C1438*1.1238938053)+(-4.4)</f>
        <v>12.570796460030001</v>
      </c>
      <c r="G1438" s="33">
        <f>(C1438*1.06194690265)+(-5.9)</f>
        <v>10.135398230014998</v>
      </c>
      <c r="H1438" s="34">
        <f>(C1438*1.19469026548)+(0)</f>
        <v>18.039823008747998</v>
      </c>
      <c r="I1438" s="34">
        <f>(C1438*1.16814159292)+(-2)</f>
        <v>15.638938053092001</v>
      </c>
      <c r="J1438" s="34">
        <f>(C1438*1.1238938053)+(-3.9)</f>
        <v>13.070796460030001</v>
      </c>
      <c r="K1438" s="34">
        <f>(C1438*1.07964601769)+(-5.6)</f>
        <v>10.702654867119</v>
      </c>
    </row>
    <row r="1439" spans="1:11" ht="19.95" customHeight="1" x14ac:dyDescent="0.25">
      <c r="A1439" s="13" t="str">
        <f>"17080"</f>
        <v>17080</v>
      </c>
      <c r="B1439" s="14" t="s">
        <v>1783</v>
      </c>
      <c r="C1439" s="13" t="str">
        <f>"26.0"</f>
        <v>26.0</v>
      </c>
      <c r="D1439" s="32">
        <f>(C1439*1.24778761061)+(0.4)</f>
        <v>32.842477875859998</v>
      </c>
      <c r="E1439" s="33">
        <f>(C1439*1.16814159292)+(-1)</f>
        <v>29.371681415920001</v>
      </c>
      <c r="F1439" s="33">
        <f>(C1439*1.1238938053)+(-4.4)</f>
        <v>24.821238937800004</v>
      </c>
      <c r="G1439" s="33">
        <f>(C1439*1.06194690265)+(-5.9)</f>
        <v>21.710619468899999</v>
      </c>
      <c r="H1439" s="34">
        <f>(C1439*1.19469026548)+(0)</f>
        <v>31.061946902479999</v>
      </c>
      <c r="I1439" s="34">
        <f>(C1439*1.16814159292)+(-2)</f>
        <v>28.371681415920001</v>
      </c>
      <c r="J1439" s="34">
        <f>(C1439*1.1238938053)+(-3.9)</f>
        <v>25.321238937800004</v>
      </c>
      <c r="K1439" s="34">
        <f>(C1439*1.07964601769)+(-5.6)</f>
        <v>22.470796459939997</v>
      </c>
    </row>
    <row r="1440" spans="1:11" ht="19.95" customHeight="1" x14ac:dyDescent="0.25">
      <c r="A1440" s="13" t="str">
        <f>"1010804"</f>
        <v>1010804</v>
      </c>
      <c r="B1440" s="14" t="s">
        <v>1784</v>
      </c>
      <c r="C1440" s="13" t="str">
        <f>"27.9"</f>
        <v>27.9</v>
      </c>
      <c r="D1440" s="32">
        <f>(C1440*1.24778761061)+(0.4)</f>
        <v>35.213274336018998</v>
      </c>
      <c r="E1440" s="33">
        <f>(C1440*1.16814159292)+(-1)</f>
        <v>31.591150442467999</v>
      </c>
      <c r="F1440" s="33">
        <f>(C1440*1.1238938053)+(-4.4)</f>
        <v>26.956637167869999</v>
      </c>
      <c r="G1440" s="33">
        <f>(C1440*1.06194690265)+(-5.9)</f>
        <v>23.728318583934993</v>
      </c>
      <c r="H1440" s="34">
        <f>(C1440*1.19469026548)+(0)</f>
        <v>33.331858406891996</v>
      </c>
      <c r="I1440" s="34">
        <f>(C1440*1.16814159292)+(-2)</f>
        <v>30.591150442467999</v>
      </c>
      <c r="J1440" s="34">
        <f>(C1440*1.1238938053)+(-3.9)</f>
        <v>27.456637167869999</v>
      </c>
      <c r="K1440" s="34">
        <f>(C1440*1.07964601769)+(-5.6)</f>
        <v>24.522123893550997</v>
      </c>
    </row>
    <row r="1441" spans="1:11" ht="19.95" customHeight="1" x14ac:dyDescent="0.25">
      <c r="A1441" s="13" t="str">
        <f>"26132"</f>
        <v>26132</v>
      </c>
      <c r="B1441" s="14" t="s">
        <v>1785</v>
      </c>
      <c r="C1441" s="13" t="str">
        <f>"27.3"</f>
        <v>27.3</v>
      </c>
      <c r="D1441" s="32">
        <f>(C1441*1.24778761061)+(0.4)</f>
        <v>34.464601769653001</v>
      </c>
      <c r="E1441" s="33">
        <f>(C1441*1.16814159292)+(-1)</f>
        <v>30.890265486716004</v>
      </c>
      <c r="F1441" s="33">
        <f>(C1441*1.1238938053)+(-4.4)</f>
        <v>26.282300884690002</v>
      </c>
      <c r="G1441" s="33">
        <f>(C1441*1.06194690265)+(-5.9)</f>
        <v>23.091150442344997</v>
      </c>
      <c r="H1441" s="34">
        <f>(C1441*1.19469026548)+(0)</f>
        <v>32.615044247604004</v>
      </c>
      <c r="I1441" s="34">
        <f>(C1441*1.16814159292)+(-2)</f>
        <v>29.890265486716004</v>
      </c>
      <c r="J1441" s="34">
        <f>(C1441*1.1238938053)+(-3.9)</f>
        <v>26.782300884690002</v>
      </c>
      <c r="K1441" s="34">
        <f>(C1441*1.07964601769)+(-5.6)</f>
        <v>23.874336282937001</v>
      </c>
    </row>
    <row r="1442" spans="1:11" ht="19.95" customHeight="1" x14ac:dyDescent="0.25">
      <c r="A1442" s="13" t="str">
        <f>"71530"</f>
        <v>71530</v>
      </c>
      <c r="B1442" s="14" t="s">
        <v>1786</v>
      </c>
      <c r="C1442" s="13" t="str">
        <f>"8.5"</f>
        <v>8.5</v>
      </c>
      <c r="D1442" s="32">
        <f>(C1442*1.24778761061)+(0.4)</f>
        <v>11.006194690185001</v>
      </c>
      <c r="E1442" s="33">
        <f>(C1442*1.16814159292)+(-1)</f>
        <v>8.9292035398200014</v>
      </c>
      <c r="F1442" s="33">
        <f>(C1442*1.1238938053)+(-4.4)</f>
        <v>5.1530973450499999</v>
      </c>
      <c r="G1442" s="33">
        <f>(C1442*1.06194690265)+(-5.9)</f>
        <v>3.1265486725249989</v>
      </c>
      <c r="H1442" s="34">
        <f>(C1442*1.19469026548)+(0)</f>
        <v>10.154867256579999</v>
      </c>
      <c r="I1442" s="34">
        <f>(C1442*1.16814159292)+(-2)</f>
        <v>7.9292035398200014</v>
      </c>
      <c r="J1442" s="34">
        <f>(C1442*1.1238938053)+(-3.9)</f>
        <v>5.6530973450499999</v>
      </c>
      <c r="K1442" s="34">
        <f>(C1442*1.07964601769)+(-5.6)</f>
        <v>3.576991150365</v>
      </c>
    </row>
    <row r="1443" spans="1:11" ht="19.95" customHeight="1" x14ac:dyDescent="0.25">
      <c r="A1443" s="13" t="str">
        <f>"1001265"</f>
        <v>1001265</v>
      </c>
      <c r="B1443" s="14" t="s">
        <v>1787</v>
      </c>
      <c r="C1443" s="13" t="str">
        <f>"1.0"</f>
        <v>1.0</v>
      </c>
      <c r="D1443" s="32">
        <f>(C1443*1.24778761061)+(0.4)</f>
        <v>1.64778761061</v>
      </c>
      <c r="E1443" s="33">
        <f>(C1443*1.16814159292)+(-1)</f>
        <v>0.16814159292000008</v>
      </c>
      <c r="F1443" s="33">
        <f>(C1443*1.1238938053)+(-4.4)</f>
        <v>-3.2761061947000005</v>
      </c>
      <c r="G1443" s="33">
        <f>(C1443*1.06194690265)+(-5.9)</f>
        <v>-4.8380530973500004</v>
      </c>
      <c r="H1443" s="34">
        <f>(C1443*1.19469026548)+(0)</f>
        <v>1.19469026548</v>
      </c>
      <c r="I1443" s="34">
        <f>(C1443*1.16814159292)+(-2)</f>
        <v>-0.83185840707999992</v>
      </c>
      <c r="J1443" s="34">
        <f>(C1443*1.1238938053)+(-3.9)</f>
        <v>-2.7761061946999996</v>
      </c>
      <c r="K1443" s="34">
        <f>(C1443*1.07964601769)+(-5.6)</f>
        <v>-4.5203539823099996</v>
      </c>
    </row>
    <row r="1444" spans="1:11" ht="19.95" customHeight="1" x14ac:dyDescent="0.25">
      <c r="A1444" s="13" t="str">
        <f>"1009719"</f>
        <v>1009719</v>
      </c>
      <c r="B1444" s="14" t="s">
        <v>1788</v>
      </c>
      <c r="C1444" s="13" t="str">
        <f>"24.7"</f>
        <v>24.7</v>
      </c>
      <c r="D1444" s="32">
        <f>(C1444*1.24778761061)+(0.4)</f>
        <v>31.220353982067</v>
      </c>
      <c r="E1444" s="33">
        <f>(C1444*1.16814159292)+(-1)</f>
        <v>27.853097345124002</v>
      </c>
      <c r="F1444" s="33">
        <f>(C1444*1.1238938053)+(-4.4)</f>
        <v>23.360176990909999</v>
      </c>
      <c r="G1444" s="33">
        <f>(C1444*1.06194690265)+(-5.9)</f>
        <v>20.330088495454994</v>
      </c>
      <c r="H1444" s="34">
        <f>(C1444*1.19469026548)+(0)</f>
        <v>29.508849557356001</v>
      </c>
      <c r="I1444" s="34">
        <f>(C1444*1.16814159292)+(-2)</f>
        <v>26.853097345124002</v>
      </c>
      <c r="J1444" s="34">
        <f>(C1444*1.1238938053)+(-3.9)</f>
        <v>23.860176990910002</v>
      </c>
      <c r="K1444" s="34">
        <f>(C1444*1.07964601769)+(-5.6)</f>
        <v>21.067256636943</v>
      </c>
    </row>
    <row r="1445" spans="1:11" ht="19.95" customHeight="1" x14ac:dyDescent="0.25">
      <c r="A1445" s="13" t="str">
        <f>"17086"</f>
        <v>17086</v>
      </c>
      <c r="B1445" s="14" t="s">
        <v>1789</v>
      </c>
      <c r="C1445" s="13" t="str">
        <f>"13.6"</f>
        <v>13.6</v>
      </c>
      <c r="D1445" s="32">
        <f>(C1445*1.24778761061)+(0.4)</f>
        <v>17.369911504295999</v>
      </c>
      <c r="E1445" s="33">
        <f>(C1445*1.16814159292)+(-1)</f>
        <v>14.886725663712001</v>
      </c>
      <c r="F1445" s="33">
        <f>(C1445*1.1238938053)+(-4.4)</f>
        <v>10.88495575208</v>
      </c>
      <c r="G1445" s="33">
        <f>(C1445*1.06194690265)+(-5.9)</f>
        <v>8.5424778760399978</v>
      </c>
      <c r="H1445" s="34">
        <f>(C1445*1.19469026548)+(0)</f>
        <v>16.247787610528</v>
      </c>
      <c r="I1445" s="34">
        <f>(C1445*1.16814159292)+(-2)</f>
        <v>13.886725663712001</v>
      </c>
      <c r="J1445" s="34">
        <f>(C1445*1.1238938053)+(-3.9)</f>
        <v>11.38495575208</v>
      </c>
      <c r="K1445" s="34">
        <f>(C1445*1.07964601769)+(-5.6)</f>
        <v>9.0831858405840009</v>
      </c>
    </row>
    <row r="1446" spans="1:11" ht="19.95" customHeight="1" x14ac:dyDescent="0.25">
      <c r="A1446" s="13" t="str">
        <f>"74461"</f>
        <v>74461</v>
      </c>
      <c r="B1446" s="14" t="s">
        <v>1790</v>
      </c>
      <c r="C1446" s="13" t="str">
        <f>"11.4"</f>
        <v>11.4</v>
      </c>
      <c r="D1446" s="32">
        <f>(C1446*1.24778761061)+(0.4)</f>
        <v>14.624778760954001</v>
      </c>
      <c r="E1446" s="33">
        <f>(C1446*1.16814159292)+(-1)</f>
        <v>12.316814159288</v>
      </c>
      <c r="F1446" s="33">
        <f>(C1446*1.1238938053)+(-4.4)</f>
        <v>8.4123893804200005</v>
      </c>
      <c r="G1446" s="33">
        <f>(C1446*1.06194690265)+(-5.9)</f>
        <v>6.2061946902099994</v>
      </c>
      <c r="H1446" s="34">
        <f>(C1446*1.19469026548)+(0)</f>
        <v>13.619469026472</v>
      </c>
      <c r="I1446" s="34">
        <f>(C1446*1.16814159292)+(-2)</f>
        <v>11.316814159288</v>
      </c>
      <c r="J1446" s="34">
        <f>(C1446*1.1238938053)+(-3.9)</f>
        <v>8.9123893804200005</v>
      </c>
      <c r="K1446" s="34">
        <f>(C1446*1.07964601769)+(-5.6)</f>
        <v>6.7079646016660011</v>
      </c>
    </row>
    <row r="1447" spans="1:11" ht="19.95" customHeight="1" x14ac:dyDescent="0.25">
      <c r="A1447" s="13" t="str">
        <f>"1013063"</f>
        <v>1013063</v>
      </c>
      <c r="B1447" s="14" t="s">
        <v>1791</v>
      </c>
      <c r="C1447" s="13" t="str">
        <f>"20.3"</f>
        <v>20.3</v>
      </c>
      <c r="D1447" s="32">
        <f>(C1447*1.24778761061)+(0.4)</f>
        <v>25.730088495383001</v>
      </c>
      <c r="E1447" s="33">
        <f>(C1447*1.16814159292)+(-1)</f>
        <v>22.713274336276001</v>
      </c>
      <c r="F1447" s="33">
        <f>(C1447*1.1238938053)+(-4.4)</f>
        <v>18.415044247590004</v>
      </c>
      <c r="G1447" s="33">
        <f>(C1447*1.06194690265)+(-5.9)</f>
        <v>15.657522123794999</v>
      </c>
      <c r="H1447" s="34">
        <f>(C1447*1.19469026548)+(0)</f>
        <v>24.252212389244001</v>
      </c>
      <c r="I1447" s="34">
        <f>(C1447*1.16814159292)+(-2)</f>
        <v>21.713274336276001</v>
      </c>
      <c r="J1447" s="34">
        <f>(C1447*1.1238938053)+(-3.9)</f>
        <v>18.915044247590004</v>
      </c>
      <c r="K1447" s="34">
        <f>(C1447*1.07964601769)+(-5.6)</f>
        <v>16.316814159107004</v>
      </c>
    </row>
    <row r="1448" spans="1:11" ht="19.95" customHeight="1" x14ac:dyDescent="0.25">
      <c r="A1448" s="13" t="str">
        <f>"22311"</f>
        <v>22311</v>
      </c>
      <c r="B1448" s="14" t="s">
        <v>1792</v>
      </c>
      <c r="C1448" s="13" t="str">
        <f>"12.0"</f>
        <v>12.0</v>
      </c>
      <c r="D1448" s="32">
        <f>(C1448*1.24778761061)+(0.4)</f>
        <v>15.373451327320002</v>
      </c>
      <c r="E1448" s="33">
        <f>(C1448*1.16814159292)+(-1)</f>
        <v>13.017699115040001</v>
      </c>
      <c r="F1448" s="33">
        <f>(C1448*1.1238938053)+(-4.4)</f>
        <v>9.0867256636000011</v>
      </c>
      <c r="G1448" s="33">
        <f>(C1448*1.06194690265)+(-5.9)</f>
        <v>6.8433628317999986</v>
      </c>
      <c r="H1448" s="34">
        <f>(C1448*1.19469026548)+(0)</f>
        <v>14.336283185759999</v>
      </c>
      <c r="I1448" s="34">
        <f>(C1448*1.16814159292)+(-2)</f>
        <v>12.017699115040001</v>
      </c>
      <c r="J1448" s="34">
        <f>(C1448*1.1238938053)+(-3.9)</f>
        <v>9.5867256636000011</v>
      </c>
      <c r="K1448" s="34">
        <f>(C1448*1.07964601769)+(-5.6)</f>
        <v>7.3557522122800005</v>
      </c>
    </row>
    <row r="1449" spans="1:11" ht="19.95" customHeight="1" x14ac:dyDescent="0.25">
      <c r="A1449" s="13" t="str">
        <f>"17099"</f>
        <v>17099</v>
      </c>
      <c r="B1449" s="14" t="s">
        <v>1793</v>
      </c>
      <c r="C1449" s="13" t="str">
        <f>"13.7"</f>
        <v>13.7</v>
      </c>
      <c r="D1449" s="32">
        <f>(C1449*1.24778761061)+(0.4)</f>
        <v>17.494690265357001</v>
      </c>
      <c r="E1449" s="33">
        <f>(C1449*1.16814159292)+(-1)</f>
        <v>15.003539823004001</v>
      </c>
      <c r="F1449" s="33">
        <f>(C1449*1.1238938053)+(-4.4)</f>
        <v>10.997345132609999</v>
      </c>
      <c r="G1449" s="33">
        <f>(C1449*1.06194690265)+(-5.9)</f>
        <v>8.648672566304997</v>
      </c>
      <c r="H1449" s="34">
        <f>(C1449*1.19469026548)+(0)</f>
        <v>16.367256637076</v>
      </c>
      <c r="I1449" s="34">
        <f>(C1449*1.16814159292)+(-2)</f>
        <v>14.003539823004001</v>
      </c>
      <c r="J1449" s="34">
        <f>(C1449*1.1238938053)+(-3.9)</f>
        <v>11.497345132609999</v>
      </c>
      <c r="K1449" s="34">
        <f>(C1449*1.07964601769)+(-5.6)</f>
        <v>9.1911504423529991</v>
      </c>
    </row>
    <row r="1450" spans="1:11" ht="19.95" customHeight="1" x14ac:dyDescent="0.25">
      <c r="A1450" s="13" t="str">
        <f>"1001607"</f>
        <v>1001607</v>
      </c>
      <c r="B1450" s="14" t="s">
        <v>1794</v>
      </c>
      <c r="C1450" s="13" t="str">
        <f>"7.3"</f>
        <v>7.3</v>
      </c>
      <c r="D1450" s="32">
        <f>(C1450*1.24778761061)+(0.4)</f>
        <v>9.5088495574530008</v>
      </c>
      <c r="E1450" s="33">
        <f>(C1450*1.16814159292)+(-1)</f>
        <v>7.5274336283160004</v>
      </c>
      <c r="F1450" s="33">
        <f>(C1450*1.1238938053)+(-4.4)</f>
        <v>3.8044247786900005</v>
      </c>
      <c r="G1450" s="33">
        <f>(C1450*1.06194690265)+(-5.9)</f>
        <v>1.8522123893449987</v>
      </c>
      <c r="H1450" s="34">
        <f>(C1450*1.19469026548)+(0)</f>
        <v>8.7212389380039994</v>
      </c>
      <c r="I1450" s="34">
        <f>(C1450*1.16814159292)+(-2)</f>
        <v>6.5274336283160004</v>
      </c>
      <c r="J1450" s="34">
        <f>(C1450*1.1238938053)+(-3.9)</f>
        <v>4.3044247786900005</v>
      </c>
      <c r="K1450" s="34">
        <f>(C1450*1.07964601769)+(-5.6)</f>
        <v>2.2814159291370002</v>
      </c>
    </row>
    <row r="1451" spans="1:11" ht="19.95" customHeight="1" x14ac:dyDescent="0.25">
      <c r="A1451" s="13" t="str">
        <f>"1003322"</f>
        <v>1003322</v>
      </c>
      <c r="B1451" s="14" t="s">
        <v>1795</v>
      </c>
      <c r="C1451" s="13" t="str">
        <f>"30.7"</f>
        <v>30.7</v>
      </c>
      <c r="D1451" s="32">
        <f>(C1451*1.24778761061)+(0.4)</f>
        <v>38.707079645726999</v>
      </c>
      <c r="E1451" s="33">
        <f>(C1451*1.16814159292)+(-1)</f>
        <v>34.861946902644</v>
      </c>
      <c r="F1451" s="33">
        <f>(C1451*1.1238938053)+(-4.4)</f>
        <v>30.103539822710005</v>
      </c>
      <c r="G1451" s="33">
        <f>(C1451*1.06194690265)+(-5.9)</f>
        <v>26.701769911355001</v>
      </c>
      <c r="H1451" s="34">
        <f>(C1451*1.19469026548)+(0)</f>
        <v>36.676991150235999</v>
      </c>
      <c r="I1451" s="34">
        <f>(C1451*1.16814159292)+(-2)</f>
        <v>33.861946902644</v>
      </c>
      <c r="J1451" s="34">
        <f>(C1451*1.1238938053)+(-3.9)</f>
        <v>30.603539822710005</v>
      </c>
      <c r="K1451" s="34">
        <f>(C1451*1.07964601769)+(-5.6)</f>
        <v>27.545132743082995</v>
      </c>
    </row>
    <row r="1452" spans="1:11" ht="19.95" customHeight="1" x14ac:dyDescent="0.25">
      <c r="A1452" s="13" t="str">
        <f>"73228"</f>
        <v>73228</v>
      </c>
      <c r="B1452" s="14" t="s">
        <v>1796</v>
      </c>
      <c r="C1452" s="13" t="str">
        <f>"22.2"</f>
        <v>22.2</v>
      </c>
      <c r="D1452" s="32">
        <f>(C1452*1.24778761061)+(0.4)</f>
        <v>28.100884955542</v>
      </c>
      <c r="E1452" s="33">
        <f>(C1452*1.16814159292)+(-1)</f>
        <v>24.932743362824002</v>
      </c>
      <c r="F1452" s="33">
        <f>(C1452*1.1238938053)+(-4.4)</f>
        <v>20.550442477659999</v>
      </c>
      <c r="G1452" s="33">
        <f>(C1452*1.06194690265)+(-5.9)</f>
        <v>17.675221238829998</v>
      </c>
      <c r="H1452" s="34">
        <f>(C1452*1.19469026548)+(0)</f>
        <v>26.522123893655998</v>
      </c>
      <c r="I1452" s="34">
        <f>(C1452*1.16814159292)+(-2)</f>
        <v>23.932743362824002</v>
      </c>
      <c r="J1452" s="34">
        <f>(C1452*1.1238938053)+(-3.9)</f>
        <v>21.050442477660003</v>
      </c>
      <c r="K1452" s="34">
        <f>(C1452*1.07964601769)+(-5.6)</f>
        <v>18.368141592717997</v>
      </c>
    </row>
    <row r="1453" spans="1:11" ht="19.95" customHeight="1" x14ac:dyDescent="0.25">
      <c r="A1453" s="13" t="str">
        <f>"1012038"</f>
        <v>1012038</v>
      </c>
      <c r="B1453" s="14" t="s">
        <v>1797</v>
      </c>
      <c r="C1453" s="13" t="str">
        <f>"25.7"</f>
        <v>25.7</v>
      </c>
      <c r="D1453" s="32">
        <f>(C1453*1.24778761061)+(0.4)</f>
        <v>32.468141592677</v>
      </c>
      <c r="E1453" s="33">
        <f>(C1453*1.16814159292)+(-1)</f>
        <v>29.021238938044</v>
      </c>
      <c r="F1453" s="33">
        <f>(C1453*1.1238938053)+(-4.4)</f>
        <v>24.484070796209998</v>
      </c>
      <c r="G1453" s="33">
        <f>(C1453*1.06194690265)+(-5.9)</f>
        <v>21.392035398104994</v>
      </c>
      <c r="H1453" s="34">
        <f>(C1453*1.19469026548)+(0)</f>
        <v>30.703539822835999</v>
      </c>
      <c r="I1453" s="34">
        <f>(C1453*1.16814159292)+(-2)</f>
        <v>28.021238938044</v>
      </c>
      <c r="J1453" s="34">
        <f>(C1453*1.1238938053)+(-3.9)</f>
        <v>24.984070796210002</v>
      </c>
      <c r="K1453" s="34">
        <f>(C1453*1.07964601769)+(-5.6)</f>
        <v>22.146902654633003</v>
      </c>
    </row>
    <row r="1454" spans="1:11" ht="19.95" customHeight="1" x14ac:dyDescent="0.25">
      <c r="A1454" s="13" t="str">
        <f>"17103"</f>
        <v>17103</v>
      </c>
      <c r="B1454" s="14" t="s">
        <v>1798</v>
      </c>
      <c r="C1454" s="13" t="str">
        <f>"25.3"</f>
        <v>25.3</v>
      </c>
      <c r="D1454" s="32">
        <f>(C1454*1.24778761061)+(0.4)</f>
        <v>31.969026548433003</v>
      </c>
      <c r="E1454" s="33">
        <f>(C1454*1.16814159292)+(-1)</f>
        <v>28.553982300876005</v>
      </c>
      <c r="F1454" s="33">
        <f>(C1454*1.1238938053)+(-4.4)</f>
        <v>24.034513274090003</v>
      </c>
      <c r="G1454" s="33">
        <f>(C1454*1.06194690265)+(-5.9)</f>
        <v>20.967256637044997</v>
      </c>
      <c r="H1454" s="34">
        <f>(C1454*1.19469026548)+(0)</f>
        <v>30.225663716644</v>
      </c>
      <c r="I1454" s="34">
        <f>(C1454*1.16814159292)+(-2)</f>
        <v>27.553982300876005</v>
      </c>
      <c r="J1454" s="34">
        <f>(C1454*1.1238938053)+(-3.9)</f>
        <v>24.534513274090003</v>
      </c>
      <c r="K1454" s="34">
        <f>(C1454*1.07964601769)+(-5.6)</f>
        <v>21.715044247557003</v>
      </c>
    </row>
    <row r="1455" spans="1:11" ht="19.95" customHeight="1" x14ac:dyDescent="0.25">
      <c r="A1455" s="13" t="str">
        <f>"17104"</f>
        <v>17104</v>
      </c>
      <c r="B1455" s="14" t="s">
        <v>1799</v>
      </c>
      <c r="C1455" s="13" t="str">
        <f>"6.7"</f>
        <v>6.7</v>
      </c>
      <c r="D1455" s="32">
        <f>(C1455*1.24778761061)+(0.4)</f>
        <v>8.7601769910870004</v>
      </c>
      <c r="E1455" s="33">
        <f>(C1455*1.16814159292)+(-1)</f>
        <v>6.8265486725640008</v>
      </c>
      <c r="F1455" s="33">
        <f>(C1455*1.1238938053)+(-4.4)</f>
        <v>3.1300884955099999</v>
      </c>
      <c r="G1455" s="33">
        <f>(C1455*1.06194690265)+(-5.9)</f>
        <v>1.2150442477549994</v>
      </c>
      <c r="H1455" s="34">
        <f>(C1455*1.19469026548)+(0)</f>
        <v>8.0044247787160003</v>
      </c>
      <c r="I1455" s="34">
        <f>(C1455*1.16814159292)+(-2)</f>
        <v>5.8265486725640008</v>
      </c>
      <c r="J1455" s="34">
        <f>(C1455*1.1238938053)+(-3.9)</f>
        <v>3.6300884955100003</v>
      </c>
      <c r="K1455" s="34">
        <f>(C1455*1.07964601769)+(-5.6)</f>
        <v>1.6336283185230007</v>
      </c>
    </row>
    <row r="1456" spans="1:11" ht="19.95" customHeight="1" x14ac:dyDescent="0.25">
      <c r="A1456" s="13" t="str">
        <f>"17105"</f>
        <v>17105</v>
      </c>
      <c r="B1456" s="14" t="s">
        <v>1800</v>
      </c>
      <c r="C1456" s="13" t="str">
        <f>"17.2"</f>
        <v>17.2</v>
      </c>
      <c r="D1456" s="32">
        <f>(C1456*1.24778761061)+(0.4)</f>
        <v>21.861946902492001</v>
      </c>
      <c r="E1456" s="33">
        <f>(C1456*1.16814159292)+(-1)</f>
        <v>19.092035398224002</v>
      </c>
      <c r="F1456" s="33">
        <f>(C1456*1.1238938053)+(-4.4)</f>
        <v>14.930973451159998</v>
      </c>
      <c r="G1456" s="33">
        <f>(C1456*1.06194690265)+(-5.9)</f>
        <v>12.365486725579997</v>
      </c>
      <c r="H1456" s="34">
        <f>(C1456*1.19469026548)+(0)</f>
        <v>20.548672566255998</v>
      </c>
      <c r="I1456" s="34">
        <f>(C1456*1.16814159292)+(-2)</f>
        <v>18.092035398224002</v>
      </c>
      <c r="J1456" s="34">
        <f>(C1456*1.1238938053)+(-3.9)</f>
        <v>15.430973451159998</v>
      </c>
      <c r="K1456" s="34">
        <f>(C1456*1.07964601769)+(-5.6)</f>
        <v>12.969911504268</v>
      </c>
    </row>
    <row r="1457" spans="1:11" ht="19.95" customHeight="1" x14ac:dyDescent="0.25">
      <c r="A1457" s="13" t="str">
        <f>"17109"</f>
        <v>17109</v>
      </c>
      <c r="B1457" s="14" t="s">
        <v>1801</v>
      </c>
      <c r="C1457" s="13" t="str">
        <f>"11.5"</f>
        <v>11.5</v>
      </c>
      <c r="D1457" s="32">
        <f>(C1457*1.24778761061)+(0.4)</f>
        <v>14.749557522015001</v>
      </c>
      <c r="E1457" s="33">
        <f>(C1457*1.16814159292)+(-1)</f>
        <v>12.43362831858</v>
      </c>
      <c r="F1457" s="33">
        <f>(C1457*1.1238938053)+(-4.4)</f>
        <v>8.5247787609499994</v>
      </c>
      <c r="G1457" s="33">
        <f>(C1457*1.06194690265)+(-5.9)</f>
        <v>6.3123893804749986</v>
      </c>
      <c r="H1457" s="34">
        <f>(C1457*1.19469026548)+(0)</f>
        <v>13.73893805302</v>
      </c>
      <c r="I1457" s="34">
        <f>(C1457*1.16814159292)+(-2)</f>
        <v>11.43362831858</v>
      </c>
      <c r="J1457" s="34">
        <f>(C1457*1.1238938053)+(-3.9)</f>
        <v>9.0247787609499994</v>
      </c>
      <c r="K1457" s="34">
        <f>(C1457*1.07964601769)+(-5.6)</f>
        <v>6.815929203435001</v>
      </c>
    </row>
    <row r="1458" spans="1:11" ht="19.95" customHeight="1" x14ac:dyDescent="0.25">
      <c r="A1458" s="13" t="str">
        <f>"17112"</f>
        <v>17112</v>
      </c>
      <c r="B1458" s="14" t="s">
        <v>1802</v>
      </c>
      <c r="C1458" s="13" t="str">
        <f>"16.1"</f>
        <v>16.1</v>
      </c>
      <c r="D1458" s="32">
        <f>(C1458*1.24778761061)+(0.4)</f>
        <v>20.489380530821002</v>
      </c>
      <c r="E1458" s="33">
        <f>(C1458*1.16814159292)+(-1)</f>
        <v>17.807079646012003</v>
      </c>
      <c r="F1458" s="33">
        <f>(C1458*1.1238938053)+(-4.4)</f>
        <v>13.694690265330001</v>
      </c>
      <c r="G1458" s="33">
        <f>(C1458*1.06194690265)+(-5.9)</f>
        <v>11.197345132665001</v>
      </c>
      <c r="H1458" s="34">
        <f>(C1458*1.19469026548)+(0)</f>
        <v>19.234513274228004</v>
      </c>
      <c r="I1458" s="34">
        <f>(C1458*1.16814159292)+(-2)</f>
        <v>16.807079646012003</v>
      </c>
      <c r="J1458" s="34">
        <f>(C1458*1.1238938053)+(-3.9)</f>
        <v>14.194690265330001</v>
      </c>
      <c r="K1458" s="34">
        <f>(C1458*1.07964601769)+(-5.6)</f>
        <v>11.782300884809002</v>
      </c>
    </row>
    <row r="1459" spans="1:11" ht="19.95" customHeight="1" x14ac:dyDescent="0.25">
      <c r="A1459" s="13" t="str">
        <f>"17113"</f>
        <v>17113</v>
      </c>
      <c r="B1459" s="14" t="s">
        <v>1803</v>
      </c>
      <c r="C1459" s="13" t="str">
        <f>"18.3"</f>
        <v>18.3</v>
      </c>
      <c r="D1459" s="32">
        <f>(C1459*1.24778761061)+(0.4)</f>
        <v>23.234513274163</v>
      </c>
      <c r="E1459" s="33">
        <f>(C1459*1.16814159292)+(-1)</f>
        <v>20.376991150436002</v>
      </c>
      <c r="F1459" s="33">
        <f>(C1459*1.1238938053)+(-4.4)</f>
        <v>16.167256636990004</v>
      </c>
      <c r="G1459" s="33">
        <f>(C1459*1.06194690265)+(-5.9)</f>
        <v>13.533628318494999</v>
      </c>
      <c r="H1459" s="34">
        <f>(C1459*1.19469026548)+(0)</f>
        <v>21.862831858284</v>
      </c>
      <c r="I1459" s="34">
        <f>(C1459*1.16814159292)+(-2)</f>
        <v>19.376991150436002</v>
      </c>
      <c r="J1459" s="34">
        <f>(C1459*1.1238938053)+(-3.9)</f>
        <v>16.667256636990004</v>
      </c>
      <c r="K1459" s="34">
        <f>(C1459*1.07964601769)+(-5.6)</f>
        <v>14.157522123727</v>
      </c>
    </row>
    <row r="1460" spans="1:11" ht="19.95" customHeight="1" x14ac:dyDescent="0.25">
      <c r="A1460" s="13" t="str">
        <f>"1001034"</f>
        <v>1001034</v>
      </c>
      <c r="B1460" s="14" t="s">
        <v>1804</v>
      </c>
      <c r="C1460" s="13" t="str">
        <f>"20.3"</f>
        <v>20.3</v>
      </c>
      <c r="D1460" s="32">
        <f>(C1460*1.24778761061)+(0.4)</f>
        <v>25.730088495383001</v>
      </c>
      <c r="E1460" s="33">
        <f>(C1460*1.16814159292)+(-1)</f>
        <v>22.713274336276001</v>
      </c>
      <c r="F1460" s="33">
        <f>(C1460*1.1238938053)+(-4.4)</f>
        <v>18.415044247590004</v>
      </c>
      <c r="G1460" s="33">
        <f>(C1460*1.06194690265)+(-5.9)</f>
        <v>15.657522123794999</v>
      </c>
      <c r="H1460" s="34">
        <f>(C1460*1.19469026548)+(0)</f>
        <v>24.252212389244001</v>
      </c>
      <c r="I1460" s="34">
        <f>(C1460*1.16814159292)+(-2)</f>
        <v>21.713274336276001</v>
      </c>
      <c r="J1460" s="34">
        <f>(C1460*1.1238938053)+(-3.9)</f>
        <v>18.915044247590004</v>
      </c>
      <c r="K1460" s="34">
        <f>(C1460*1.07964601769)+(-5.6)</f>
        <v>16.316814159107004</v>
      </c>
    </row>
    <row r="1461" spans="1:11" ht="19.95" customHeight="1" x14ac:dyDescent="0.25">
      <c r="A1461" s="13" t="str">
        <f>"68155"</f>
        <v>68155</v>
      </c>
      <c r="B1461" s="14" t="s">
        <v>1805</v>
      </c>
      <c r="C1461" s="13" t="str">
        <f>"11.7"</f>
        <v>11.7</v>
      </c>
      <c r="D1461" s="32">
        <f>(C1461*1.24778761061)+(0.4)</f>
        <v>14.999115044137001</v>
      </c>
      <c r="E1461" s="33">
        <f>(C1461*1.16814159292)+(-1)</f>
        <v>12.667256637164</v>
      </c>
      <c r="F1461" s="33">
        <f>(C1461*1.1238938053)+(-4.4)</f>
        <v>8.749557522009999</v>
      </c>
      <c r="G1461" s="33">
        <f>(C1461*1.06194690265)+(-5.9)</f>
        <v>6.5247787610049972</v>
      </c>
      <c r="H1461" s="34">
        <f>(C1461*1.19469026548)+(0)</f>
        <v>13.977876106116</v>
      </c>
      <c r="I1461" s="34">
        <f>(C1461*1.16814159292)+(-2)</f>
        <v>11.667256637164</v>
      </c>
      <c r="J1461" s="34">
        <f>(C1461*1.1238938053)+(-3.9)</f>
        <v>9.249557522009999</v>
      </c>
      <c r="K1461" s="34">
        <f>(C1461*1.07964601769)+(-5.6)</f>
        <v>7.031858406972999</v>
      </c>
    </row>
    <row r="1462" spans="1:11" ht="19.95" customHeight="1" x14ac:dyDescent="0.25">
      <c r="A1462" s="13" t="str">
        <f>"77293"</f>
        <v>77293</v>
      </c>
      <c r="B1462" s="14" t="s">
        <v>1806</v>
      </c>
      <c r="C1462" s="13" t="str">
        <f>"20.4"</f>
        <v>20.4</v>
      </c>
      <c r="D1462" s="32">
        <f>(C1462*1.24778761061)+(0.4)</f>
        <v>25.854867256443999</v>
      </c>
      <c r="E1462" s="33">
        <f>(C1462*1.16814159292)+(-1)</f>
        <v>22.830088495567999</v>
      </c>
      <c r="F1462" s="33">
        <f>(C1462*1.1238938053)+(-4.4)</f>
        <v>18.527433628120001</v>
      </c>
      <c r="G1462" s="33">
        <f>(C1462*1.06194690265)+(-5.9)</f>
        <v>15.763716814059995</v>
      </c>
      <c r="H1462" s="34">
        <f>(C1462*1.19469026548)+(0)</f>
        <v>24.371681415791997</v>
      </c>
      <c r="I1462" s="34">
        <f>(C1462*1.16814159292)+(-2)</f>
        <v>21.830088495567999</v>
      </c>
      <c r="J1462" s="34">
        <f>(C1462*1.1238938053)+(-3.9)</f>
        <v>19.027433628120001</v>
      </c>
      <c r="K1462" s="34">
        <f>(C1462*1.07964601769)+(-5.6)</f>
        <v>16.424778760876002</v>
      </c>
    </row>
    <row r="1463" spans="1:11" ht="19.95" customHeight="1" x14ac:dyDescent="0.25">
      <c r="A1463" s="13" t="str">
        <f>"76463"</f>
        <v>76463</v>
      </c>
      <c r="B1463" s="14" t="s">
        <v>1807</v>
      </c>
      <c r="C1463" s="13" t="str">
        <f>"12.9"</f>
        <v>12.9</v>
      </c>
      <c r="D1463" s="32">
        <f>(C1463*1.24778761061)+(0.4)</f>
        <v>16.496460176869</v>
      </c>
      <c r="E1463" s="33">
        <f>(C1463*1.16814159292)+(-1)</f>
        <v>14.069026548668001</v>
      </c>
      <c r="F1463" s="33">
        <f>(C1463*1.1238938053)+(-4.4)</f>
        <v>10.09823008837</v>
      </c>
      <c r="G1463" s="33">
        <f>(C1463*1.06194690265)+(-5.9)</f>
        <v>7.7991150441849992</v>
      </c>
      <c r="H1463" s="34">
        <f>(C1463*1.19469026548)+(0)</f>
        <v>15.411504424692001</v>
      </c>
      <c r="I1463" s="34">
        <f>(C1463*1.16814159292)+(-2)</f>
        <v>13.069026548668001</v>
      </c>
      <c r="J1463" s="34">
        <f>(C1463*1.1238938053)+(-3.9)</f>
        <v>10.59823008837</v>
      </c>
      <c r="K1463" s="34">
        <f>(C1463*1.07964601769)+(-5.6)</f>
        <v>8.3274336282010015</v>
      </c>
    </row>
    <row r="1464" spans="1:11" ht="19.95" customHeight="1" x14ac:dyDescent="0.25">
      <c r="A1464" s="13" t="str">
        <f>"1010318"</f>
        <v>1010318</v>
      </c>
      <c r="B1464" s="14" t="s">
        <v>1808</v>
      </c>
      <c r="C1464" s="13" t="str">
        <f>"21.8"</f>
        <v>21.8</v>
      </c>
      <c r="D1464" s="32">
        <f>(C1464*1.24778761061)+(0.4)</f>
        <v>27.601769911298003</v>
      </c>
      <c r="E1464" s="33">
        <f>(C1464*1.16814159292)+(-1)</f>
        <v>24.465486725656003</v>
      </c>
      <c r="F1464" s="33">
        <f>(C1464*1.1238938053)+(-4.4)</f>
        <v>20.100884955540003</v>
      </c>
      <c r="G1464" s="33">
        <f>(C1464*1.06194690265)+(-5.9)</f>
        <v>17.250442477770001</v>
      </c>
      <c r="H1464" s="34">
        <f>(C1464*1.19469026548)+(0)</f>
        <v>26.044247787464002</v>
      </c>
      <c r="I1464" s="34">
        <f>(C1464*1.16814159292)+(-2)</f>
        <v>23.465486725656003</v>
      </c>
      <c r="J1464" s="34">
        <f>(C1464*1.1238938053)+(-3.9)</f>
        <v>20.600884955540003</v>
      </c>
      <c r="K1464" s="34">
        <f>(C1464*1.07964601769)+(-5.6)</f>
        <v>17.936283185642004</v>
      </c>
    </row>
    <row r="1465" spans="1:11" ht="19.95" customHeight="1" x14ac:dyDescent="0.25">
      <c r="A1465" s="13" t="str">
        <f>"1017550"</f>
        <v>1017550</v>
      </c>
      <c r="B1465" s="14" t="s">
        <v>1925</v>
      </c>
      <c r="C1465" s="13" t="str">
        <f>"14.9"</f>
        <v>14.9</v>
      </c>
      <c r="D1465" s="32">
        <f>(C1465*1.24778761061)+(0.4)</f>
        <v>18.992035398089001</v>
      </c>
      <c r="E1465" s="33">
        <f>(C1465*1.16814159292)+(-1)</f>
        <v>16.405309734508002</v>
      </c>
      <c r="F1465" s="33">
        <f>(C1465*1.1238938053)+(-4.4)</f>
        <v>12.34601769897</v>
      </c>
      <c r="G1465" s="33">
        <f>(C1465*1.06194690265)+(-5.9)</f>
        <v>9.9230088494849991</v>
      </c>
      <c r="H1465" s="34">
        <f>(C1465*1.19469026548)+(0)</f>
        <v>17.800884955652002</v>
      </c>
      <c r="I1465" s="34">
        <f>(C1465*1.16814159292)+(-2)</f>
        <v>15.405309734508002</v>
      </c>
      <c r="J1465" s="34">
        <f>(C1465*1.1238938053)+(-3.9)</f>
        <v>12.84601769897</v>
      </c>
      <c r="K1465" s="34">
        <f>(C1465*1.07964601769)+(-5.6)</f>
        <v>10.486725663581</v>
      </c>
    </row>
    <row r="1466" spans="1:11" ht="19.95" customHeight="1" x14ac:dyDescent="0.25">
      <c r="A1466" s="13" t="str">
        <f>"1012318"</f>
        <v>1012318</v>
      </c>
      <c r="B1466" s="14" t="s">
        <v>1809</v>
      </c>
      <c r="C1466" s="13" t="str">
        <f>"30.8"</f>
        <v>30.8</v>
      </c>
      <c r="D1466" s="32">
        <f>(C1466*1.24778761061)+(0.4)</f>
        <v>38.831858406788001</v>
      </c>
      <c r="E1466" s="33">
        <f>(C1466*1.16814159292)+(-1)</f>
        <v>34.978761061936005</v>
      </c>
      <c r="F1466" s="33">
        <f>(C1466*1.1238938053)+(-4.4)</f>
        <v>30.215929203240002</v>
      </c>
      <c r="G1466" s="33">
        <f>(C1466*1.06194690265)+(-5.9)</f>
        <v>26.80796460162</v>
      </c>
      <c r="H1466" s="34">
        <f>(C1466*1.19469026548)+(0)</f>
        <v>36.796460176784002</v>
      </c>
      <c r="I1466" s="34">
        <f>(C1466*1.16814159292)+(-2)</f>
        <v>33.978761061936005</v>
      </c>
      <c r="J1466" s="34">
        <f>(C1466*1.1238938053)+(-3.9)</f>
        <v>30.715929203240002</v>
      </c>
      <c r="K1466" s="34">
        <f>(C1466*1.07964601769)+(-5.6)</f>
        <v>27.653097344852</v>
      </c>
    </row>
    <row r="1467" spans="1:11" ht="19.95" customHeight="1" x14ac:dyDescent="0.25">
      <c r="A1467" s="13" t="str">
        <f>"1012319"</f>
        <v>1012319</v>
      </c>
      <c r="B1467" s="14" t="s">
        <v>1810</v>
      </c>
      <c r="C1467" s="13" t="str">
        <f>"26.5"</f>
        <v>26.5</v>
      </c>
      <c r="D1467" s="32">
        <f>(C1467*1.24778761061)+(0.4)</f>
        <v>33.466371681165</v>
      </c>
      <c r="E1467" s="33">
        <f>(C1467*1.16814159292)+(-1)</f>
        <v>29.955752212380002</v>
      </c>
      <c r="F1467" s="33">
        <f>(C1467*1.1238938053)+(-4.4)</f>
        <v>25.383185840450004</v>
      </c>
      <c r="G1467" s="33">
        <f>(C1467*1.06194690265)+(-5.9)</f>
        <v>22.241592920224996</v>
      </c>
      <c r="H1467" s="34">
        <f>(C1467*1.19469026548)+(0)</f>
        <v>31.659292035220002</v>
      </c>
      <c r="I1467" s="34">
        <f>(C1467*1.16814159292)+(-2)</f>
        <v>28.955752212380002</v>
      </c>
      <c r="J1467" s="34">
        <f>(C1467*1.1238938053)+(-3.9)</f>
        <v>25.883185840450004</v>
      </c>
      <c r="K1467" s="34">
        <f>(C1467*1.07964601769)+(-5.6)</f>
        <v>23.010619468785002</v>
      </c>
    </row>
    <row r="1468" spans="1:11" ht="19.95" customHeight="1" x14ac:dyDescent="0.25">
      <c r="A1468" s="13" t="str">
        <f>"1015589"</f>
        <v>1015589</v>
      </c>
      <c r="B1468" s="14" t="s">
        <v>1811</v>
      </c>
      <c r="C1468" s="13" t="str">
        <f>"19.8"</f>
        <v>19.8</v>
      </c>
      <c r="D1468" s="32">
        <f>(C1468*1.24778761061)+(0.4)</f>
        <v>25.106194690078002</v>
      </c>
      <c r="E1468" s="33">
        <f>(C1468*1.16814159292)+(-1)</f>
        <v>22.129203539816004</v>
      </c>
      <c r="F1468" s="33">
        <f>(C1468*1.1238938053)+(-4.4)</f>
        <v>17.853097344940004</v>
      </c>
      <c r="G1468" s="33">
        <f>(C1468*1.06194690265)+(-5.9)</f>
        <v>15.126548672469999</v>
      </c>
      <c r="H1468" s="34">
        <f>(C1468*1.19469026548)+(0)</f>
        <v>23.654867256504001</v>
      </c>
      <c r="I1468" s="34">
        <f>(C1468*1.16814159292)+(-2)</f>
        <v>21.129203539816004</v>
      </c>
      <c r="J1468" s="34">
        <f>(C1468*1.1238938053)+(-3.9)</f>
        <v>18.353097344940004</v>
      </c>
      <c r="K1468" s="34">
        <f>(C1468*1.07964601769)+(-5.6)</f>
        <v>15.776991150262001</v>
      </c>
    </row>
    <row r="1469" spans="1:11" ht="19.95" customHeight="1" x14ac:dyDescent="0.25">
      <c r="A1469" s="13" t="str">
        <f>"17120"</f>
        <v>17120</v>
      </c>
      <c r="B1469" s="14" t="s">
        <v>1812</v>
      </c>
      <c r="C1469" s="13" t="str">
        <f>"12.0"</f>
        <v>12.0</v>
      </c>
      <c r="D1469" s="32">
        <f>(C1469*1.24778761061)+(0.4)</f>
        <v>15.373451327320002</v>
      </c>
      <c r="E1469" s="33">
        <f>(C1469*1.16814159292)+(-1)</f>
        <v>13.017699115040001</v>
      </c>
      <c r="F1469" s="33">
        <f>(C1469*1.1238938053)+(-4.4)</f>
        <v>9.0867256636000011</v>
      </c>
      <c r="G1469" s="33">
        <f>(C1469*1.06194690265)+(-5.9)</f>
        <v>6.8433628317999986</v>
      </c>
      <c r="H1469" s="34">
        <f>(C1469*1.19469026548)+(0)</f>
        <v>14.336283185759999</v>
      </c>
      <c r="I1469" s="34">
        <f>(C1469*1.16814159292)+(-2)</f>
        <v>12.017699115040001</v>
      </c>
      <c r="J1469" s="34">
        <f>(C1469*1.1238938053)+(-3.9)</f>
        <v>9.5867256636000011</v>
      </c>
      <c r="K1469" s="34">
        <f>(C1469*1.07964601769)+(-5.6)</f>
        <v>7.3557522122800005</v>
      </c>
    </row>
    <row r="1470" spans="1:11" ht="19.95" customHeight="1" x14ac:dyDescent="0.25">
      <c r="A1470" s="13" t="str">
        <f>"1005032"</f>
        <v>1005032</v>
      </c>
      <c r="B1470" s="14" t="s">
        <v>1813</v>
      </c>
      <c r="C1470" s="13" t="str">
        <f>"28.4"</f>
        <v>28.4</v>
      </c>
      <c r="D1470" s="32">
        <f>(C1470*1.24778761061)+(0.4)</f>
        <v>35.837168141324</v>
      </c>
      <c r="E1470" s="33">
        <f>(C1470*1.16814159292)+(-1)</f>
        <v>32.175221238928003</v>
      </c>
      <c r="F1470" s="33">
        <f>(C1470*1.1238938053)+(-4.4)</f>
        <v>27.518584070519999</v>
      </c>
      <c r="G1470" s="33">
        <f>(C1470*1.06194690265)+(-5.9)</f>
        <v>24.259292035259996</v>
      </c>
      <c r="H1470" s="34">
        <f>(C1470*1.19469026548)+(0)</f>
        <v>33.929203539631999</v>
      </c>
      <c r="I1470" s="34">
        <f>(C1470*1.16814159292)+(-2)</f>
        <v>31.175221238928003</v>
      </c>
      <c r="J1470" s="34">
        <f>(C1470*1.1238938053)+(-3.9)</f>
        <v>28.018584070520003</v>
      </c>
      <c r="K1470" s="34">
        <f>(C1470*1.07964601769)+(-5.6)</f>
        <v>25.061946902396002</v>
      </c>
    </row>
    <row r="1471" spans="1:11" ht="19.95" customHeight="1" x14ac:dyDescent="0.25">
      <c r="A1471" s="13" t="str">
        <f>"70508"</f>
        <v>70508</v>
      </c>
      <c r="B1471" s="14" t="s">
        <v>1814</v>
      </c>
      <c r="C1471" s="13" t="str">
        <f>"20.3"</f>
        <v>20.3</v>
      </c>
      <c r="D1471" s="32">
        <f>(C1471*1.24778761061)+(0.4)</f>
        <v>25.730088495383001</v>
      </c>
      <c r="E1471" s="33">
        <f>(C1471*1.16814159292)+(-1)</f>
        <v>22.713274336276001</v>
      </c>
      <c r="F1471" s="33">
        <f>(C1471*1.1238938053)+(-4.4)</f>
        <v>18.415044247590004</v>
      </c>
      <c r="G1471" s="33">
        <f>(C1471*1.06194690265)+(-5.9)</f>
        <v>15.657522123794999</v>
      </c>
      <c r="H1471" s="34">
        <f>(C1471*1.19469026548)+(0)</f>
        <v>24.252212389244001</v>
      </c>
      <c r="I1471" s="34">
        <f>(C1471*1.16814159292)+(-2)</f>
        <v>21.713274336276001</v>
      </c>
      <c r="J1471" s="34">
        <f>(C1471*1.1238938053)+(-3.9)</f>
        <v>18.915044247590004</v>
      </c>
      <c r="K1471" s="34">
        <f>(C1471*1.07964601769)+(-5.6)</f>
        <v>16.316814159107004</v>
      </c>
    </row>
    <row r="1472" spans="1:11" ht="19.95" customHeight="1" x14ac:dyDescent="0.25">
      <c r="A1472" s="13" t="str">
        <f>"17125"</f>
        <v>17125</v>
      </c>
      <c r="B1472" s="14" t="s">
        <v>1815</v>
      </c>
      <c r="C1472" s="13" t="str">
        <f>"23.1"</f>
        <v>23.1</v>
      </c>
      <c r="D1472" s="32">
        <f>(C1472*1.24778761061)+(0.4)</f>
        <v>29.223893805091002</v>
      </c>
      <c r="E1472" s="33">
        <f>(C1472*1.16814159292)+(-1)</f>
        <v>25.984070796452002</v>
      </c>
      <c r="F1472" s="33">
        <f>(C1472*1.1238938053)+(-4.4)</f>
        <v>21.561946902430002</v>
      </c>
      <c r="G1472" s="33">
        <f>(C1472*1.06194690265)+(-5.9)</f>
        <v>18.630973451214999</v>
      </c>
      <c r="H1472" s="34">
        <f>(C1472*1.19469026548)+(0)</f>
        <v>27.597345132588003</v>
      </c>
      <c r="I1472" s="34">
        <f>(C1472*1.16814159292)+(-2)</f>
        <v>24.984070796452002</v>
      </c>
      <c r="J1472" s="34">
        <f>(C1472*1.1238938053)+(-3.9)</f>
        <v>22.061946902430005</v>
      </c>
      <c r="K1472" s="34">
        <f>(C1472*1.07964601769)+(-5.6)</f>
        <v>19.339823008639002</v>
      </c>
    </row>
    <row r="1473" spans="1:11" ht="19.95" customHeight="1" x14ac:dyDescent="0.25">
      <c r="A1473" s="13" t="str">
        <f>"1012252"</f>
        <v>1012252</v>
      </c>
      <c r="B1473" s="14" t="s">
        <v>1816</v>
      </c>
      <c r="C1473" s="13" t="str">
        <f>"27.4"</f>
        <v>27.4</v>
      </c>
      <c r="D1473" s="32">
        <f>(C1473*1.24778761061)+(0.4)</f>
        <v>34.589380530714003</v>
      </c>
      <c r="E1473" s="33">
        <f>(C1473*1.16814159292)+(-1)</f>
        <v>31.007079646008002</v>
      </c>
      <c r="F1473" s="33">
        <f>(C1473*1.1238938053)+(-4.4)</f>
        <v>26.39469026522</v>
      </c>
      <c r="G1473" s="33">
        <f>(C1473*1.06194690265)+(-5.9)</f>
        <v>23.197345132609996</v>
      </c>
      <c r="H1473" s="34">
        <f>(C1473*1.19469026548)+(0)</f>
        <v>32.734513274152</v>
      </c>
      <c r="I1473" s="34">
        <f>(C1473*1.16814159292)+(-2)</f>
        <v>30.007079646008002</v>
      </c>
      <c r="J1473" s="34">
        <f>(C1473*1.1238938053)+(-3.9)</f>
        <v>26.89469026522</v>
      </c>
      <c r="K1473" s="34">
        <f>(C1473*1.07964601769)+(-5.6)</f>
        <v>23.982300884706</v>
      </c>
    </row>
    <row r="1474" spans="1:11" ht="19.95" customHeight="1" x14ac:dyDescent="0.25">
      <c r="A1474" s="13" t="str">
        <f>"70057"</f>
        <v>70057</v>
      </c>
      <c r="B1474" s="14" t="s">
        <v>1817</v>
      </c>
      <c r="C1474" s="13" t="str">
        <f>"25.9"</f>
        <v>25.9</v>
      </c>
      <c r="D1474" s="32">
        <f>(C1474*1.24778761061)+(0.4)</f>
        <v>32.717699114798997</v>
      </c>
      <c r="E1474" s="33">
        <f>(C1474*1.16814159292)+(-1)</f>
        <v>29.254867256628</v>
      </c>
      <c r="F1474" s="33">
        <f>(C1474*1.1238938053)+(-4.4)</f>
        <v>24.70884955727</v>
      </c>
      <c r="G1474" s="33">
        <f>(C1474*1.06194690265)+(-5.9)</f>
        <v>21.604424778634993</v>
      </c>
      <c r="H1474" s="34">
        <f>(C1474*1.19469026548)+(0)</f>
        <v>30.942477875931999</v>
      </c>
      <c r="I1474" s="34">
        <f>(C1474*1.16814159292)+(-2)</f>
        <v>28.254867256628</v>
      </c>
      <c r="J1474" s="34">
        <f>(C1474*1.1238938053)+(-3.9)</f>
        <v>25.20884955727</v>
      </c>
      <c r="K1474" s="34">
        <f>(C1474*1.07964601769)+(-5.6)</f>
        <v>22.362831858170999</v>
      </c>
    </row>
    <row r="1475" spans="1:11" ht="19.95" customHeight="1" x14ac:dyDescent="0.25">
      <c r="A1475" s="13" t="str">
        <f>"73863"</f>
        <v>73863</v>
      </c>
      <c r="B1475" s="14" t="s">
        <v>1818</v>
      </c>
      <c r="C1475" s="13" t="str">
        <f>"10.1"</f>
        <v>10.1</v>
      </c>
      <c r="D1475" s="32">
        <f>(C1475*1.24778761061)+(0.4)</f>
        <v>13.002654867161</v>
      </c>
      <c r="E1475" s="33">
        <f>(C1475*1.16814159292)+(-1)</f>
        <v>10.798230088492</v>
      </c>
      <c r="F1475" s="33">
        <f>(C1475*1.1238938053)+(-4.4)</f>
        <v>6.9513274335300004</v>
      </c>
      <c r="G1475" s="33">
        <f>(C1475*1.06194690265)+(-5.9)</f>
        <v>4.8256637167649981</v>
      </c>
      <c r="H1475" s="34">
        <f>(C1475*1.19469026548)+(0)</f>
        <v>12.066371681348</v>
      </c>
      <c r="I1475" s="34">
        <f>(C1475*1.16814159292)+(-2)</f>
        <v>9.7982300884919997</v>
      </c>
      <c r="J1475" s="34">
        <f>(C1475*1.1238938053)+(-3.9)</f>
        <v>7.4513274335300004</v>
      </c>
      <c r="K1475" s="34">
        <f>(C1475*1.07964601769)+(-5.6)</f>
        <v>5.3044247786690004</v>
      </c>
    </row>
    <row r="1476" spans="1:11" ht="19.95" customHeight="1" x14ac:dyDescent="0.25">
      <c r="A1476" s="13" t="str">
        <f>"17126"</f>
        <v>17126</v>
      </c>
      <c r="B1476" s="14" t="s">
        <v>1819</v>
      </c>
      <c r="C1476" s="13" t="str">
        <f>"14.8"</f>
        <v>14.8</v>
      </c>
      <c r="D1476" s="32">
        <f>(C1476*1.24778761061)+(0.4)</f>
        <v>18.867256637027999</v>
      </c>
      <c r="E1476" s="33">
        <f>(C1476*1.16814159292)+(-1)</f>
        <v>16.288495575216</v>
      </c>
      <c r="F1476" s="33">
        <f>(C1476*1.1238938053)+(-4.4)</f>
        <v>12.233628318440003</v>
      </c>
      <c r="G1476" s="33">
        <f>(C1476*1.06194690265)+(-5.9)</f>
        <v>9.8168141592199998</v>
      </c>
      <c r="H1476" s="34">
        <f>(C1476*1.19469026548)+(0)</f>
        <v>17.681415929104002</v>
      </c>
      <c r="I1476" s="34">
        <f>(C1476*1.16814159292)+(-2)</f>
        <v>15.288495575216</v>
      </c>
      <c r="J1476" s="34">
        <f>(C1476*1.1238938053)+(-3.9)</f>
        <v>12.733628318440003</v>
      </c>
      <c r="K1476" s="34">
        <f>(C1476*1.07964601769)+(-5.6)</f>
        <v>10.378761061812002</v>
      </c>
    </row>
    <row r="1477" spans="1:11" ht="19.95" customHeight="1" x14ac:dyDescent="0.25">
      <c r="A1477" s="13" t="str">
        <f>"17127"</f>
        <v>17127</v>
      </c>
      <c r="B1477" s="14" t="s">
        <v>1820</v>
      </c>
      <c r="C1477" s="13" t="str">
        <f>"32.1"</f>
        <v>32.1</v>
      </c>
      <c r="D1477" s="32">
        <f>(C1477*1.24778761061)+(0.4)</f>
        <v>40.453982300581004</v>
      </c>
      <c r="E1477" s="33">
        <f>(C1477*1.16814159292)+(-1)</f>
        <v>36.497345132732008</v>
      </c>
      <c r="F1477" s="33">
        <f>(C1477*1.1238938053)+(-4.4)</f>
        <v>31.676991150130007</v>
      </c>
      <c r="G1477" s="33">
        <f>(C1477*1.06194690265)+(-5.9)</f>
        <v>28.188495575064998</v>
      </c>
      <c r="H1477" s="34">
        <f>(C1477*1.19469026548)+(0)</f>
        <v>38.349557521908004</v>
      </c>
      <c r="I1477" s="34">
        <f>(C1477*1.16814159292)+(-2)</f>
        <v>35.497345132732008</v>
      </c>
      <c r="J1477" s="34">
        <f>(C1477*1.1238938053)+(-3.9)</f>
        <v>32.176991150130007</v>
      </c>
      <c r="K1477" s="34">
        <f>(C1477*1.07964601769)+(-5.6)</f>
        <v>29.056637167848997</v>
      </c>
    </row>
    <row r="1478" spans="1:11" ht="19.95" customHeight="1" x14ac:dyDescent="0.25">
      <c r="A1478" s="13" t="str">
        <f>"1009744"</f>
        <v>1009744</v>
      </c>
      <c r="B1478" s="14" t="s">
        <v>1821</v>
      </c>
      <c r="C1478" s="13" t="str">
        <f>"15.7"</f>
        <v>15.7</v>
      </c>
      <c r="D1478" s="32">
        <f>(C1478*1.24778761061)+(0.4)</f>
        <v>19.990265486576998</v>
      </c>
      <c r="E1478" s="33">
        <f>(C1478*1.16814159292)+(-1)</f>
        <v>17.339823008844</v>
      </c>
      <c r="F1478" s="33">
        <f>(C1478*1.1238938053)+(-4.4)</f>
        <v>13.245132743209998</v>
      </c>
      <c r="G1478" s="33">
        <f>(C1478*1.06194690265)+(-5.9)</f>
        <v>10.772566371604997</v>
      </c>
      <c r="H1478" s="34">
        <f>(C1478*1.19469026548)+(0)</f>
        <v>18.756637168036001</v>
      </c>
      <c r="I1478" s="34">
        <f>(C1478*1.16814159292)+(-2)</f>
        <v>16.339823008844</v>
      </c>
      <c r="J1478" s="34">
        <f>(C1478*1.1238938053)+(-3.9)</f>
        <v>13.745132743209998</v>
      </c>
      <c r="K1478" s="34">
        <f>(C1478*1.07964601769)+(-5.6)</f>
        <v>11.350442477732999</v>
      </c>
    </row>
    <row r="1479" spans="1:11" ht="19.95" customHeight="1" x14ac:dyDescent="0.25">
      <c r="A1479" s="13" t="str">
        <f>"60867"</f>
        <v>60867</v>
      </c>
      <c r="B1479" s="14" t="s">
        <v>1822</v>
      </c>
      <c r="C1479" s="13" t="str">
        <f>"20.5"</f>
        <v>20.5</v>
      </c>
      <c r="D1479" s="32">
        <f>(C1479*1.24778761061)+(0.4)</f>
        <v>25.979646017505001</v>
      </c>
      <c r="E1479" s="33">
        <f>(C1479*1.16814159292)+(-1)</f>
        <v>22.946902654860001</v>
      </c>
      <c r="F1479" s="33">
        <f>(C1479*1.1238938053)+(-4.4)</f>
        <v>18.639823008649998</v>
      </c>
      <c r="G1479" s="33">
        <f>(C1479*1.06194690265)+(-5.9)</f>
        <v>15.869911504324998</v>
      </c>
      <c r="H1479" s="34">
        <f>(C1479*1.19469026548)+(0)</f>
        <v>24.49115044234</v>
      </c>
      <c r="I1479" s="34">
        <f>(C1479*1.16814159292)+(-2)</f>
        <v>21.946902654860001</v>
      </c>
      <c r="J1479" s="34">
        <f>(C1479*1.1238938053)+(-3.9)</f>
        <v>19.139823008650001</v>
      </c>
      <c r="K1479" s="34">
        <f>(C1479*1.07964601769)+(-5.6)</f>
        <v>16.532743362645</v>
      </c>
    </row>
    <row r="1480" spans="1:11" ht="19.95" customHeight="1" x14ac:dyDescent="0.25">
      <c r="A1480" s="13" t="str">
        <f>"60866"</f>
        <v>60866</v>
      </c>
      <c r="B1480" s="14" t="s">
        <v>1823</v>
      </c>
      <c r="C1480" s="13" t="str">
        <f>"23.0"</f>
        <v>23.0</v>
      </c>
      <c r="D1480" s="32">
        <f>(C1480*1.24778761061)+(0.4)</f>
        <v>29.09911504403</v>
      </c>
      <c r="E1480" s="33">
        <f>(C1480*1.16814159292)+(-1)</f>
        <v>25.867256637160001</v>
      </c>
      <c r="F1480" s="33">
        <f>(C1480*1.1238938053)+(-4.4)</f>
        <v>21.449557521899997</v>
      </c>
      <c r="G1480" s="33">
        <f>(C1480*1.06194690265)+(-5.9)</f>
        <v>18.524778760949999</v>
      </c>
      <c r="H1480" s="34">
        <f>(C1480*1.19469026548)+(0)</f>
        <v>27.47787610604</v>
      </c>
      <c r="I1480" s="34">
        <f>(C1480*1.16814159292)+(-2)</f>
        <v>24.867256637160001</v>
      </c>
      <c r="J1480" s="34">
        <f>(C1480*1.1238938053)+(-3.9)</f>
        <v>21.949557521900001</v>
      </c>
      <c r="K1480" s="34">
        <f>(C1480*1.07964601769)+(-5.6)</f>
        <v>19.231858406870003</v>
      </c>
    </row>
    <row r="1481" spans="1:11" ht="19.95" customHeight="1" x14ac:dyDescent="0.25">
      <c r="A1481" s="13" t="str">
        <f>"11071"</f>
        <v>11071</v>
      </c>
      <c r="B1481" s="14" t="s">
        <v>1824</v>
      </c>
      <c r="C1481" s="13" t="str">
        <f>"18.7"</f>
        <v>18.7</v>
      </c>
      <c r="D1481" s="32">
        <f>(C1481*1.24778761061)+(0.4)</f>
        <v>23.733628318407</v>
      </c>
      <c r="E1481" s="33">
        <f>(C1481*1.16814159292)+(-1)</f>
        <v>20.844247787604001</v>
      </c>
      <c r="F1481" s="33">
        <f>(C1481*1.1238938053)+(-4.4)</f>
        <v>16.61681415911</v>
      </c>
      <c r="G1481" s="33">
        <f>(C1481*1.06194690265)+(-5.9)</f>
        <v>13.958407079554997</v>
      </c>
      <c r="H1481" s="34">
        <f>(C1481*1.19469026548)+(0)</f>
        <v>22.340707964476</v>
      </c>
      <c r="I1481" s="34">
        <f>(C1481*1.16814159292)+(-2)</f>
        <v>19.844247787604001</v>
      </c>
      <c r="J1481" s="34">
        <f>(C1481*1.1238938053)+(-3.9)</f>
        <v>17.116814159110003</v>
      </c>
      <c r="K1481" s="34">
        <f>(C1481*1.07964601769)+(-5.6)</f>
        <v>14.589380530803</v>
      </c>
    </row>
    <row r="1482" spans="1:11" ht="19.95" customHeight="1" x14ac:dyDescent="0.25">
      <c r="A1482" s="13" t="str">
        <f>"9167"</f>
        <v>9167</v>
      </c>
      <c r="B1482" s="14" t="s">
        <v>1825</v>
      </c>
      <c r="C1482" s="13" t="str">
        <f>"10.0"</f>
        <v>10.0</v>
      </c>
      <c r="D1482" s="32">
        <f>(C1482*1.24778761061)+(0.4)</f>
        <v>12.877876106100002</v>
      </c>
      <c r="E1482" s="33">
        <f>(C1482*1.16814159292)+(-1)</f>
        <v>10.6814159292</v>
      </c>
      <c r="F1482" s="33">
        <f>(C1482*1.1238938053)+(-4.4)</f>
        <v>6.8389380529999997</v>
      </c>
      <c r="G1482" s="33">
        <f>(C1482*1.06194690265)+(-5.9)</f>
        <v>4.7194690264999988</v>
      </c>
      <c r="H1482" s="34">
        <f>(C1482*1.19469026548)+(0)</f>
        <v>11.946902654800001</v>
      </c>
      <c r="I1482" s="34">
        <f>(C1482*1.16814159292)+(-2)</f>
        <v>9.6814159291999999</v>
      </c>
      <c r="J1482" s="34">
        <f>(C1482*1.1238938053)+(-3.9)</f>
        <v>7.3389380529999997</v>
      </c>
      <c r="K1482" s="34">
        <f>(C1482*1.07964601769)+(-5.6)</f>
        <v>5.1964601769000005</v>
      </c>
    </row>
    <row r="1483" spans="1:11" ht="19.95" customHeight="1" x14ac:dyDescent="0.25">
      <c r="A1483" s="13" t="str">
        <f>"1015566"</f>
        <v>1015566</v>
      </c>
      <c r="B1483" s="14" t="s">
        <v>1826</v>
      </c>
      <c r="C1483" s="13" t="s">
        <v>76</v>
      </c>
      <c r="D1483" s="32" t="s">
        <v>77</v>
      </c>
      <c r="E1483" s="33" t="s">
        <v>77</v>
      </c>
      <c r="F1483" s="33" t="s">
        <v>77</v>
      </c>
      <c r="G1483" s="33" t="s">
        <v>77</v>
      </c>
      <c r="H1483" s="34" t="s">
        <v>77</v>
      </c>
      <c r="I1483" s="34" t="s">
        <v>77</v>
      </c>
      <c r="J1483" s="34" t="s">
        <v>77</v>
      </c>
      <c r="K1483" s="34" t="s">
        <v>77</v>
      </c>
    </row>
    <row r="1484" spans="1:11" ht="19.95" customHeight="1" x14ac:dyDescent="0.25">
      <c r="A1484" s="13" t="str">
        <f>"14862"</f>
        <v>14862</v>
      </c>
      <c r="B1484" s="14" t="s">
        <v>1827</v>
      </c>
      <c r="C1484" s="13" t="str">
        <f>"19.3"</f>
        <v>19.3</v>
      </c>
      <c r="D1484" s="32">
        <f>(C1484*1.24778761061)+(0.4)</f>
        <v>24.482300884773</v>
      </c>
      <c r="E1484" s="33">
        <f>(C1484*1.16814159292)+(-1)</f>
        <v>21.545132743356003</v>
      </c>
      <c r="F1484" s="33">
        <f>(C1484*1.1238938053)+(-4.4)</f>
        <v>17.291150442290004</v>
      </c>
      <c r="G1484" s="33">
        <f>(C1484*1.06194690265)+(-5.9)</f>
        <v>14.595575221144999</v>
      </c>
      <c r="H1484" s="34">
        <f>(C1484*1.19469026548)+(0)</f>
        <v>23.057522123764002</v>
      </c>
      <c r="I1484" s="34">
        <f>(C1484*1.16814159292)+(-2)</f>
        <v>20.545132743356003</v>
      </c>
      <c r="J1484" s="34">
        <f>(C1484*1.1238938053)+(-3.9)</f>
        <v>17.791150442290004</v>
      </c>
      <c r="K1484" s="34">
        <f>(C1484*1.07964601769)+(-5.6)</f>
        <v>15.237168141417003</v>
      </c>
    </row>
    <row r="1485" spans="1:11" ht="19.95" customHeight="1" x14ac:dyDescent="0.25">
      <c r="A1485" s="13" t="str">
        <f>"17130"</f>
        <v>17130</v>
      </c>
      <c r="B1485" s="14" t="s">
        <v>1828</v>
      </c>
      <c r="C1485" s="13" t="str">
        <f>"23.7"</f>
        <v>23.7</v>
      </c>
      <c r="D1485" s="32">
        <f>(C1485*1.24778761061)+(0.4)</f>
        <v>29.972566371456999</v>
      </c>
      <c r="E1485" s="33">
        <f>(C1485*1.16814159292)+(-1)</f>
        <v>26.684955752204001</v>
      </c>
      <c r="F1485" s="33">
        <f>(C1485*1.1238938053)+(-4.4)</f>
        <v>22.236283185609999</v>
      </c>
      <c r="G1485" s="33">
        <f>(C1485*1.06194690265)+(-5.9)</f>
        <v>19.268141592804994</v>
      </c>
      <c r="H1485" s="34">
        <f>(C1485*1.19469026548)+(0)</f>
        <v>28.314159291875999</v>
      </c>
      <c r="I1485" s="34">
        <f>(C1485*1.16814159292)+(-2)</f>
        <v>25.684955752204001</v>
      </c>
      <c r="J1485" s="34">
        <f>(C1485*1.1238938053)+(-3.9)</f>
        <v>22.736283185610002</v>
      </c>
      <c r="K1485" s="34">
        <f>(C1485*1.07964601769)+(-5.6)</f>
        <v>19.987610619252997</v>
      </c>
    </row>
    <row r="1486" spans="1:11" ht="19.95" customHeight="1" x14ac:dyDescent="0.25">
      <c r="A1486" s="13" t="str">
        <f>"75973"</f>
        <v>75973</v>
      </c>
      <c r="B1486" s="14" t="s">
        <v>1829</v>
      </c>
      <c r="C1486" s="13" t="str">
        <f>"17.4"</f>
        <v>17.4</v>
      </c>
      <c r="D1486" s="32">
        <f>(C1486*1.24778761061)+(0.4)</f>
        <v>22.111504424613997</v>
      </c>
      <c r="E1486" s="33">
        <f>(C1486*1.16814159292)+(-1)</f>
        <v>19.325663716807998</v>
      </c>
      <c r="F1486" s="33">
        <f>(C1486*1.1238938053)+(-4.4)</f>
        <v>15.155752212219999</v>
      </c>
      <c r="G1486" s="33">
        <f>(C1486*1.06194690265)+(-5.9)</f>
        <v>12.577876106109995</v>
      </c>
      <c r="H1486" s="34">
        <f>(C1486*1.19469026548)+(0)</f>
        <v>20.787610619351998</v>
      </c>
      <c r="I1486" s="34">
        <f>(C1486*1.16814159292)+(-2)</f>
        <v>18.325663716807998</v>
      </c>
      <c r="J1486" s="34">
        <f>(C1486*1.1238938053)+(-3.9)</f>
        <v>15.655752212219999</v>
      </c>
      <c r="K1486" s="34">
        <f>(C1486*1.07964601769)+(-5.6)</f>
        <v>13.185840707805999</v>
      </c>
    </row>
    <row r="1487" spans="1:11" ht="19.95" customHeight="1" x14ac:dyDescent="0.25">
      <c r="A1487" s="13" t="str">
        <f>"67328"</f>
        <v>67328</v>
      </c>
      <c r="B1487" s="14" t="s">
        <v>1830</v>
      </c>
      <c r="C1487" s="13" t="str">
        <f>"17.7"</f>
        <v>17.7</v>
      </c>
      <c r="D1487" s="32">
        <f>(C1487*1.24778761061)+(0.4)</f>
        <v>22.485840707796999</v>
      </c>
      <c r="E1487" s="33">
        <f>(C1487*1.16814159292)+(-1)</f>
        <v>19.676106194683999</v>
      </c>
      <c r="F1487" s="33">
        <f>(C1487*1.1238938053)+(-4.4)</f>
        <v>15.492920353809998</v>
      </c>
      <c r="G1487" s="33">
        <f>(C1487*1.06194690265)+(-5.9)</f>
        <v>12.896460176904997</v>
      </c>
      <c r="H1487" s="34">
        <f>(C1487*1.19469026548)+(0)</f>
        <v>21.146017698996001</v>
      </c>
      <c r="I1487" s="34">
        <f>(C1487*1.16814159292)+(-2)</f>
        <v>18.676106194683999</v>
      </c>
      <c r="J1487" s="34">
        <f>(C1487*1.1238938053)+(-3.9)</f>
        <v>15.992920353809998</v>
      </c>
      <c r="K1487" s="34">
        <f>(C1487*1.07964601769)+(-5.6)</f>
        <v>13.509734513113001</v>
      </c>
    </row>
    <row r="1488" spans="1:11" ht="19.95" customHeight="1" x14ac:dyDescent="0.25">
      <c r="A1488" s="13" t="str">
        <f>"38880"</f>
        <v>38880</v>
      </c>
      <c r="B1488" s="14" t="s">
        <v>1831</v>
      </c>
      <c r="C1488" s="13" t="str">
        <f>"24.9"</f>
        <v>24.9</v>
      </c>
      <c r="D1488" s="32">
        <f>(C1488*1.24778761061)+(0.4)</f>
        <v>31.469911504189</v>
      </c>
      <c r="E1488" s="33">
        <f>(C1488*1.16814159292)+(-1)</f>
        <v>28.086725663708002</v>
      </c>
      <c r="F1488" s="33">
        <f>(C1488*1.1238938053)+(-4.4)</f>
        <v>23.58495575197</v>
      </c>
      <c r="G1488" s="33">
        <f>(C1488*1.06194690265)+(-5.9)</f>
        <v>20.542477875984993</v>
      </c>
      <c r="H1488" s="34">
        <f>(C1488*1.19469026548)+(0)</f>
        <v>29.747787610451997</v>
      </c>
      <c r="I1488" s="34">
        <f>(C1488*1.16814159292)+(-2)</f>
        <v>27.086725663708002</v>
      </c>
      <c r="J1488" s="34">
        <f>(C1488*1.1238938053)+(-3.9)</f>
        <v>24.08495575197</v>
      </c>
      <c r="K1488" s="34">
        <f>(C1488*1.07964601769)+(-5.6)</f>
        <v>21.283185840480996</v>
      </c>
    </row>
    <row r="1489" spans="1:11" ht="19.95" customHeight="1" x14ac:dyDescent="0.25">
      <c r="A1489" s="13" t="str">
        <f>"17138"</f>
        <v>17138</v>
      </c>
      <c r="B1489" s="14" t="s">
        <v>1832</v>
      </c>
      <c r="C1489" s="13" t="str">
        <f>"25.9"</f>
        <v>25.9</v>
      </c>
      <c r="D1489" s="32">
        <f>(C1489*1.24778761061)+(0.4)</f>
        <v>32.717699114798997</v>
      </c>
      <c r="E1489" s="33">
        <f>(C1489*1.16814159292)+(-1)</f>
        <v>29.254867256628</v>
      </c>
      <c r="F1489" s="33">
        <f>(C1489*1.1238938053)+(-4.4)</f>
        <v>24.70884955727</v>
      </c>
      <c r="G1489" s="33">
        <f>(C1489*1.06194690265)+(-5.9)</f>
        <v>21.604424778634993</v>
      </c>
      <c r="H1489" s="34">
        <f>(C1489*1.19469026548)+(0)</f>
        <v>30.942477875931999</v>
      </c>
      <c r="I1489" s="34">
        <f>(C1489*1.16814159292)+(-2)</f>
        <v>28.254867256628</v>
      </c>
      <c r="J1489" s="34">
        <f>(C1489*1.1238938053)+(-3.9)</f>
        <v>25.20884955727</v>
      </c>
      <c r="K1489" s="34">
        <f>(C1489*1.07964601769)+(-5.6)</f>
        <v>22.362831858170999</v>
      </c>
    </row>
    <row r="1490" spans="1:11" ht="19.95" customHeight="1" x14ac:dyDescent="0.25">
      <c r="A1490" s="13" t="str">
        <f>"51097"</f>
        <v>51097</v>
      </c>
      <c r="B1490" s="14" t="s">
        <v>1833</v>
      </c>
      <c r="C1490" s="13" t="str">
        <f>"11.1"</f>
        <v>11.1</v>
      </c>
      <c r="D1490" s="32">
        <f>(C1490*1.24778761061)+(0.4)</f>
        <v>14.250442477771001</v>
      </c>
      <c r="E1490" s="33">
        <f>(C1490*1.16814159292)+(-1)</f>
        <v>11.966371681412001</v>
      </c>
      <c r="F1490" s="33">
        <f>(C1490*1.1238938053)+(-4.4)</f>
        <v>8.0752212388300002</v>
      </c>
      <c r="G1490" s="33">
        <f>(C1490*1.06194690265)+(-5.9)</f>
        <v>5.887610619414998</v>
      </c>
      <c r="H1490" s="34">
        <f>(C1490*1.19469026548)+(0)</f>
        <v>13.261061946827999</v>
      </c>
      <c r="I1490" s="34">
        <f>(C1490*1.16814159292)+(-2)</f>
        <v>10.966371681412001</v>
      </c>
      <c r="J1490" s="34">
        <f>(C1490*1.1238938053)+(-3.9)</f>
        <v>8.5752212388300002</v>
      </c>
      <c r="K1490" s="34">
        <f>(C1490*1.07964601769)+(-5.6)</f>
        <v>6.3840707963589995</v>
      </c>
    </row>
    <row r="1491" spans="1:11" ht="19.95" customHeight="1" x14ac:dyDescent="0.25">
      <c r="A1491" s="13" t="str">
        <f>"17140"</f>
        <v>17140</v>
      </c>
      <c r="B1491" s="14" t="s">
        <v>1834</v>
      </c>
      <c r="C1491" s="13" t="str">
        <f>"19.0"</f>
        <v>19.0</v>
      </c>
      <c r="D1491" s="32">
        <f>(C1491*1.24778761061)+(0.4)</f>
        <v>24.107964601590002</v>
      </c>
      <c r="E1491" s="33">
        <f>(C1491*1.16814159292)+(-1)</f>
        <v>21.194690265480002</v>
      </c>
      <c r="F1491" s="33">
        <f>(C1491*1.1238938053)+(-4.4)</f>
        <v>16.953982300699998</v>
      </c>
      <c r="G1491" s="33">
        <f>(C1491*1.06194690265)+(-5.9)</f>
        <v>14.276991150349998</v>
      </c>
      <c r="H1491" s="34">
        <f>(C1491*1.19469026548)+(0)</f>
        <v>22.699115044119999</v>
      </c>
      <c r="I1491" s="34">
        <f>(C1491*1.16814159292)+(-2)</f>
        <v>20.194690265480002</v>
      </c>
      <c r="J1491" s="34">
        <f>(C1491*1.1238938053)+(-3.9)</f>
        <v>17.453982300700002</v>
      </c>
      <c r="K1491" s="34">
        <f>(C1491*1.07964601769)+(-5.6)</f>
        <v>14.913274336110002</v>
      </c>
    </row>
    <row r="1492" spans="1:11" ht="19.95" customHeight="1" x14ac:dyDescent="0.25">
      <c r="A1492" s="13" t="str">
        <f>"1006041"</f>
        <v>1006041</v>
      </c>
      <c r="B1492" s="14" t="s">
        <v>1835</v>
      </c>
      <c r="C1492" s="13" t="str">
        <f>"3.3"</f>
        <v>3.3</v>
      </c>
      <c r="D1492" s="32">
        <f>(C1492*1.24778761061)+(0.4)</f>
        <v>4.5176991150130004</v>
      </c>
      <c r="E1492" s="33">
        <f>(C1492*1.16814159292)+(-1)</f>
        <v>2.8548672566360001</v>
      </c>
      <c r="F1492" s="33">
        <f>(C1492*1.1238938053)+(-4.4)</f>
        <v>-0.69115044251000057</v>
      </c>
      <c r="G1492" s="33">
        <f>(C1492*1.06194690265)+(-5.9)</f>
        <v>-2.395575221255001</v>
      </c>
      <c r="H1492" s="34">
        <f>(C1492*1.19469026548)+(0)</f>
        <v>3.9424778760839998</v>
      </c>
      <c r="I1492" s="34">
        <f>(C1492*1.16814159292)+(-2)</f>
        <v>1.8548672566360001</v>
      </c>
      <c r="J1492" s="34">
        <f>(C1492*1.1238938053)+(-3.9)</f>
        <v>-0.19115044251000013</v>
      </c>
      <c r="K1492" s="34">
        <f>(C1492*1.07964601769)+(-5.6)</f>
        <v>-2.0371681416229999</v>
      </c>
    </row>
    <row r="1493" spans="1:11" ht="19.95" customHeight="1" x14ac:dyDescent="0.25">
      <c r="A1493" s="13" t="str">
        <f>"1001192"</f>
        <v>1001192</v>
      </c>
      <c r="B1493" s="14" t="s">
        <v>1836</v>
      </c>
      <c r="C1493" s="13" t="str">
        <f>"34.4"</f>
        <v>34.4</v>
      </c>
      <c r="D1493" s="32">
        <f>(C1493*1.24778761061)+(0.4)</f>
        <v>43.323893804984003</v>
      </c>
      <c r="E1493" s="33">
        <f>(C1493*1.16814159292)+(-1)</f>
        <v>39.184070796448005</v>
      </c>
      <c r="F1493" s="33">
        <f>(C1493*1.1238938053)+(-4.4)</f>
        <v>34.261946902319998</v>
      </c>
      <c r="G1493" s="33">
        <f>(C1493*1.06194690265)+(-5.9)</f>
        <v>30.630973451159996</v>
      </c>
      <c r="H1493" s="34">
        <f>(C1493*1.19469026548)+(0)</f>
        <v>41.097345132511997</v>
      </c>
      <c r="I1493" s="34">
        <f>(C1493*1.16814159292)+(-2)</f>
        <v>38.184070796448005</v>
      </c>
      <c r="J1493" s="34">
        <f>(C1493*1.1238938053)+(-3.9)</f>
        <v>34.761946902319998</v>
      </c>
      <c r="K1493" s="34">
        <f>(C1493*1.07964601769)+(-5.6)</f>
        <v>31.539823008535997</v>
      </c>
    </row>
    <row r="1494" spans="1:11" ht="19.95" customHeight="1" x14ac:dyDescent="0.25">
      <c r="A1494" s="13" t="str">
        <f>"17146"</f>
        <v>17146</v>
      </c>
      <c r="B1494" s="14" t="s">
        <v>1837</v>
      </c>
      <c r="C1494" s="13" t="str">
        <f>"26.6"</f>
        <v>26.6</v>
      </c>
      <c r="D1494" s="32">
        <f>(C1494*1.24778761061)+(0.4)</f>
        <v>33.591150442226002</v>
      </c>
      <c r="E1494" s="33">
        <f>(C1494*1.16814159292)+(-1)</f>
        <v>30.072566371672004</v>
      </c>
      <c r="F1494" s="33">
        <f>(C1494*1.1238938053)+(-4.4)</f>
        <v>25.495575220980001</v>
      </c>
      <c r="G1494" s="33">
        <f>(C1494*1.06194690265)+(-5.9)</f>
        <v>22.347787610490002</v>
      </c>
      <c r="H1494" s="34">
        <f>(C1494*1.19469026548)+(0)</f>
        <v>31.778761061768002</v>
      </c>
      <c r="I1494" s="34">
        <f>(C1494*1.16814159292)+(-2)</f>
        <v>29.072566371672004</v>
      </c>
      <c r="J1494" s="34">
        <f>(C1494*1.1238938053)+(-3.9)</f>
        <v>25.995575220980005</v>
      </c>
      <c r="K1494" s="34">
        <f>(C1494*1.07964601769)+(-5.6)</f>
        <v>23.118584070554</v>
      </c>
    </row>
    <row r="1495" spans="1:11" ht="19.95" customHeight="1" x14ac:dyDescent="0.25">
      <c r="A1495" s="13" t="str">
        <f>"23815"</f>
        <v>23815</v>
      </c>
      <c r="B1495" s="14" t="s">
        <v>1838</v>
      </c>
      <c r="C1495" s="13" t="str">
        <f>"12.8"</f>
        <v>12.8</v>
      </c>
      <c r="D1495" s="32">
        <f>(C1495*1.24778761061)+(0.4)</f>
        <v>16.371681415808002</v>
      </c>
      <c r="E1495" s="33">
        <f>(C1495*1.16814159292)+(-1)</f>
        <v>13.952212389376001</v>
      </c>
      <c r="F1495" s="33">
        <f>(C1495*1.1238938053)+(-4.4)</f>
        <v>9.9858407078400013</v>
      </c>
      <c r="G1495" s="33">
        <f>(C1495*1.06194690265)+(-5.9)</f>
        <v>7.69292035392</v>
      </c>
      <c r="H1495" s="34">
        <f>(C1495*1.19469026548)+(0)</f>
        <v>15.292035398144002</v>
      </c>
      <c r="I1495" s="34">
        <f>(C1495*1.16814159292)+(-2)</f>
        <v>12.952212389376001</v>
      </c>
      <c r="J1495" s="34">
        <f>(C1495*1.1238938053)+(-3.9)</f>
        <v>10.485840707840001</v>
      </c>
      <c r="K1495" s="34">
        <f>(C1495*1.07964601769)+(-5.6)</f>
        <v>8.2194690264320016</v>
      </c>
    </row>
    <row r="1496" spans="1:11" ht="19.95" customHeight="1" x14ac:dyDescent="0.25">
      <c r="A1496" s="13" t="str">
        <f>"1012529"</f>
        <v>1012529</v>
      </c>
      <c r="B1496" s="14" t="s">
        <v>1839</v>
      </c>
      <c r="C1496" s="13" t="str">
        <f>"13.4000"</f>
        <v>13.4000</v>
      </c>
      <c r="D1496" s="32">
        <f>(C1496*1.24778761061)+(0.4)</f>
        <v>17.120353982173999</v>
      </c>
      <c r="E1496" s="33">
        <f>(C1496*1.16814159292)+(-1)</f>
        <v>14.653097345128002</v>
      </c>
      <c r="F1496" s="33">
        <f>(C1496*1.1238938053)+(-4.4)</f>
        <v>10.66017699102</v>
      </c>
      <c r="G1496" s="33">
        <f>(C1496*1.06194690265)+(-5.9)</f>
        <v>8.3300884955099992</v>
      </c>
      <c r="H1496" s="34">
        <f>(C1496*1.19469026548)+(0)</f>
        <v>16.008849557432001</v>
      </c>
      <c r="I1496" s="34">
        <f>(C1496*1.16814159292)+(-2)</f>
        <v>13.653097345128002</v>
      </c>
      <c r="J1496" s="34">
        <f>(C1496*1.1238938053)+(-3.9)</f>
        <v>11.16017699102</v>
      </c>
      <c r="K1496" s="34">
        <f>(C1496*1.07964601769)+(-5.6)</f>
        <v>8.8672566370460011</v>
      </c>
    </row>
    <row r="1497" spans="1:11" ht="19.95" customHeight="1" x14ac:dyDescent="0.25">
      <c r="A1497" s="13" t="str">
        <f>"66214"</f>
        <v>66214</v>
      </c>
      <c r="B1497" s="14" t="s">
        <v>1840</v>
      </c>
      <c r="C1497" s="13" t="str">
        <f>"30.8"</f>
        <v>30.8</v>
      </c>
      <c r="D1497" s="32">
        <f>(C1497*1.24778761061)+(0.4)</f>
        <v>38.831858406788001</v>
      </c>
      <c r="E1497" s="33">
        <f>(C1497*1.16814159292)+(-1)</f>
        <v>34.978761061936005</v>
      </c>
      <c r="F1497" s="33">
        <f>(C1497*1.1238938053)+(-4.4)</f>
        <v>30.215929203240002</v>
      </c>
      <c r="G1497" s="33">
        <f>(C1497*1.06194690265)+(-5.9)</f>
        <v>26.80796460162</v>
      </c>
      <c r="H1497" s="34">
        <f>(C1497*1.19469026548)+(0)</f>
        <v>36.796460176784002</v>
      </c>
      <c r="I1497" s="34">
        <f>(C1497*1.16814159292)+(-2)</f>
        <v>33.978761061936005</v>
      </c>
      <c r="J1497" s="34">
        <f>(C1497*1.1238938053)+(-3.9)</f>
        <v>30.715929203240002</v>
      </c>
      <c r="K1497" s="34">
        <f>(C1497*1.07964601769)+(-5.6)</f>
        <v>27.653097344852</v>
      </c>
    </row>
    <row r="1498" spans="1:11" ht="19.95" customHeight="1" x14ac:dyDescent="0.25">
      <c r="A1498" s="13" t="str">
        <f>"1015366"</f>
        <v>1015366</v>
      </c>
      <c r="B1498" s="14" t="s">
        <v>1841</v>
      </c>
      <c r="C1498" s="13" t="str">
        <f>"19.4"</f>
        <v>19.4</v>
      </c>
      <c r="D1498" s="32">
        <f>(C1498*1.24778761061)+(0.4)</f>
        <v>24.607079645833998</v>
      </c>
      <c r="E1498" s="33">
        <f>(C1498*1.16814159292)+(-1)</f>
        <v>21.661946902648001</v>
      </c>
      <c r="F1498" s="33">
        <f>(C1498*1.1238938053)+(-4.4)</f>
        <v>17.403539822820001</v>
      </c>
      <c r="G1498" s="33">
        <f>(C1498*1.06194690265)+(-5.9)</f>
        <v>14.701769911409995</v>
      </c>
      <c r="H1498" s="34">
        <f>(C1498*1.19469026548)+(0)</f>
        <v>23.176991150311999</v>
      </c>
      <c r="I1498" s="34">
        <f>(C1498*1.16814159292)+(-2)</f>
        <v>20.661946902648001</v>
      </c>
      <c r="J1498" s="34">
        <f>(C1498*1.1238938053)+(-3.9)</f>
        <v>17.903539822820001</v>
      </c>
      <c r="K1498" s="34">
        <f>(C1498*1.07964601769)+(-5.6)</f>
        <v>15.345132743185998</v>
      </c>
    </row>
    <row r="1499" spans="1:11" ht="19.95" customHeight="1" x14ac:dyDescent="0.25">
      <c r="A1499" s="13" t="str">
        <f>"69080"</f>
        <v>69080</v>
      </c>
      <c r="B1499" s="14" t="s">
        <v>1842</v>
      </c>
      <c r="C1499" s="13" t="str">
        <f>"11.7"</f>
        <v>11.7</v>
      </c>
      <c r="D1499" s="32">
        <f>(C1499*1.24778761061)+(0.4)</f>
        <v>14.999115044137001</v>
      </c>
      <c r="E1499" s="33">
        <f>(C1499*1.16814159292)+(-1)</f>
        <v>12.667256637164</v>
      </c>
      <c r="F1499" s="33">
        <f>(C1499*1.1238938053)+(-4.4)</f>
        <v>8.749557522009999</v>
      </c>
      <c r="G1499" s="33">
        <f>(C1499*1.06194690265)+(-5.9)</f>
        <v>6.5247787610049972</v>
      </c>
      <c r="H1499" s="34">
        <f>(C1499*1.19469026548)+(0)</f>
        <v>13.977876106116</v>
      </c>
      <c r="I1499" s="34">
        <f>(C1499*1.16814159292)+(-2)</f>
        <v>11.667256637164</v>
      </c>
      <c r="J1499" s="34">
        <f>(C1499*1.1238938053)+(-3.9)</f>
        <v>9.249557522009999</v>
      </c>
      <c r="K1499" s="34">
        <f>(C1499*1.07964601769)+(-5.6)</f>
        <v>7.031858406972999</v>
      </c>
    </row>
    <row r="1500" spans="1:11" ht="19.95" customHeight="1" x14ac:dyDescent="0.25">
      <c r="A1500" s="13" t="str">
        <f>"39334"</f>
        <v>39334</v>
      </c>
      <c r="B1500" s="14" t="s">
        <v>1843</v>
      </c>
      <c r="C1500" s="13" t="str">
        <f>"21.0"</f>
        <v>21.0</v>
      </c>
      <c r="D1500" s="32">
        <f>(C1500*1.24778761061)+(0.4)</f>
        <v>26.603539822809999</v>
      </c>
      <c r="E1500" s="33">
        <f>(C1500*1.16814159292)+(-1)</f>
        <v>23.530973451320001</v>
      </c>
      <c r="F1500" s="33">
        <f>(C1500*1.1238938053)+(-4.4)</f>
        <v>19.201769911299998</v>
      </c>
      <c r="G1500" s="33">
        <f>(C1500*1.06194690265)+(-5.9)</f>
        <v>16.40088495565</v>
      </c>
      <c r="H1500" s="34">
        <f>(C1500*1.19469026548)+(0)</f>
        <v>25.08849557508</v>
      </c>
      <c r="I1500" s="34">
        <f>(C1500*1.16814159292)+(-2)</f>
        <v>22.530973451320001</v>
      </c>
      <c r="J1500" s="34">
        <f>(C1500*1.1238938053)+(-3.9)</f>
        <v>19.701769911300001</v>
      </c>
      <c r="K1500" s="34">
        <f>(C1500*1.07964601769)+(-5.6)</f>
        <v>17.072566371489998</v>
      </c>
    </row>
    <row r="1501" spans="1:11" ht="19.95" customHeight="1" x14ac:dyDescent="0.25">
      <c r="A1501" s="13" t="str">
        <f>"43367"</f>
        <v>43367</v>
      </c>
      <c r="B1501" s="14" t="s">
        <v>1844</v>
      </c>
      <c r="C1501" s="13" t="str">
        <f>"13.8"</f>
        <v>13.8</v>
      </c>
      <c r="D1501" s="32">
        <f>(C1501*1.24778761061)+(0.4)</f>
        <v>17.619469026418002</v>
      </c>
      <c r="E1501" s="33">
        <f>(C1501*1.16814159292)+(-1)</f>
        <v>15.120353982296002</v>
      </c>
      <c r="F1501" s="33">
        <f>(C1501*1.1238938053)+(-4.4)</f>
        <v>11.109734513140001</v>
      </c>
      <c r="G1501" s="33">
        <f>(C1501*1.06194690265)+(-5.9)</f>
        <v>8.7548672565699999</v>
      </c>
      <c r="H1501" s="34">
        <f>(C1501*1.19469026548)+(0)</f>
        <v>16.486725663624</v>
      </c>
      <c r="I1501" s="34">
        <f>(C1501*1.16814159292)+(-2)</f>
        <v>14.120353982296002</v>
      </c>
      <c r="J1501" s="34">
        <f>(C1501*1.1238938053)+(-3.9)</f>
        <v>11.609734513140001</v>
      </c>
      <c r="K1501" s="34">
        <f>(C1501*1.07964601769)+(-5.6)</f>
        <v>9.2991150441220007</v>
      </c>
    </row>
    <row r="1502" spans="1:11" ht="19.95" customHeight="1" x14ac:dyDescent="0.25">
      <c r="A1502" s="13" t="str">
        <f>"17148"</f>
        <v>17148</v>
      </c>
      <c r="B1502" s="14" t="s">
        <v>1845</v>
      </c>
      <c r="C1502" s="13" t="str">
        <f>"18.0"</f>
        <v>18.0</v>
      </c>
      <c r="D1502" s="32">
        <f>(C1502*1.24778761061)+(0.4)</f>
        <v>22.860176990980001</v>
      </c>
      <c r="E1502" s="33">
        <f>(C1502*1.16814159292)+(-1)</f>
        <v>20.026548672560001</v>
      </c>
      <c r="F1502" s="33">
        <f>(C1502*1.1238938053)+(-4.4)</f>
        <v>15.8300884954</v>
      </c>
      <c r="G1502" s="33">
        <f>(C1502*1.06194690265)+(-5.9)</f>
        <v>13.215044247699998</v>
      </c>
      <c r="H1502" s="34">
        <f>(C1502*1.19469026548)+(0)</f>
        <v>21.504424778640001</v>
      </c>
      <c r="I1502" s="34">
        <f>(C1502*1.16814159292)+(-2)</f>
        <v>19.026548672560001</v>
      </c>
      <c r="J1502" s="34">
        <f>(C1502*1.1238938053)+(-3.9)</f>
        <v>16.330088495400002</v>
      </c>
      <c r="K1502" s="34">
        <f>(C1502*1.07964601769)+(-5.6)</f>
        <v>13.833628318419999</v>
      </c>
    </row>
    <row r="1503" spans="1:11" ht="19.95" customHeight="1" x14ac:dyDescent="0.25">
      <c r="A1503" s="13" t="str">
        <f>"50794"</f>
        <v>50794</v>
      </c>
      <c r="B1503" s="14" t="s">
        <v>1846</v>
      </c>
      <c r="C1503" s="13" t="str">
        <f>"11.5"</f>
        <v>11.5</v>
      </c>
      <c r="D1503" s="32">
        <f>(C1503*1.24778761061)+(0.4)</f>
        <v>14.749557522015001</v>
      </c>
      <c r="E1503" s="33">
        <f>(C1503*1.16814159292)+(-1)</f>
        <v>12.43362831858</v>
      </c>
      <c r="F1503" s="33">
        <f>(C1503*1.1238938053)+(-4.4)</f>
        <v>8.5247787609499994</v>
      </c>
      <c r="G1503" s="33">
        <f>(C1503*1.06194690265)+(-5.9)</f>
        <v>6.3123893804749986</v>
      </c>
      <c r="H1503" s="34">
        <f>(C1503*1.19469026548)+(0)</f>
        <v>13.73893805302</v>
      </c>
      <c r="I1503" s="34">
        <f>(C1503*1.16814159292)+(-2)</f>
        <v>11.43362831858</v>
      </c>
      <c r="J1503" s="34">
        <f>(C1503*1.1238938053)+(-3.9)</f>
        <v>9.0247787609499994</v>
      </c>
      <c r="K1503" s="34">
        <f>(C1503*1.07964601769)+(-5.6)</f>
        <v>6.815929203435001</v>
      </c>
    </row>
    <row r="1504" spans="1:11" ht="19.95" customHeight="1" x14ac:dyDescent="0.25">
      <c r="A1504" s="13" t="str">
        <f>"17149"</f>
        <v>17149</v>
      </c>
      <c r="B1504" s="14" t="s">
        <v>1847</v>
      </c>
      <c r="C1504" s="13" t="str">
        <f>"25.0"</f>
        <v>25.0</v>
      </c>
      <c r="D1504" s="32">
        <f>(C1504*1.24778761061)+(0.4)</f>
        <v>31.594690265250001</v>
      </c>
      <c r="E1504" s="33">
        <f>(C1504*1.16814159292)+(-1)</f>
        <v>28.203539823000003</v>
      </c>
      <c r="F1504" s="33">
        <f>(C1504*1.1238938053)+(-4.4)</f>
        <v>23.697345132500004</v>
      </c>
      <c r="G1504" s="33">
        <f>(C1504*1.06194690265)+(-5.9)</f>
        <v>20.648672566249999</v>
      </c>
      <c r="H1504" s="34">
        <f>(C1504*1.19469026548)+(0)</f>
        <v>29.867256637000001</v>
      </c>
      <c r="I1504" s="34">
        <f>(C1504*1.16814159292)+(-2)</f>
        <v>27.203539823000003</v>
      </c>
      <c r="J1504" s="34">
        <f>(C1504*1.1238938053)+(-3.9)</f>
        <v>24.197345132500004</v>
      </c>
      <c r="K1504" s="34">
        <f>(C1504*1.07964601769)+(-5.6)</f>
        <v>21.391150442250002</v>
      </c>
    </row>
    <row r="1505" spans="1:11" ht="19.95" customHeight="1" x14ac:dyDescent="0.25">
      <c r="A1505" s="13" t="str">
        <f>"17150"</f>
        <v>17150</v>
      </c>
      <c r="B1505" s="14" t="s">
        <v>1848</v>
      </c>
      <c r="C1505" s="13" t="str">
        <f>"21.4"</f>
        <v>21.4</v>
      </c>
      <c r="D1505" s="32">
        <f>(C1505*1.24778761061)+(0.4)</f>
        <v>27.102654867054</v>
      </c>
      <c r="E1505" s="33">
        <f>(C1505*1.16814159292)+(-1)</f>
        <v>23.998230088488</v>
      </c>
      <c r="F1505" s="33">
        <f>(C1505*1.1238938053)+(-4.4)</f>
        <v>19.651327433420001</v>
      </c>
      <c r="G1505" s="33">
        <f>(C1505*1.06194690265)+(-5.9)</f>
        <v>16.825663716709997</v>
      </c>
      <c r="H1505" s="34">
        <f>(C1505*1.19469026548)+(0)</f>
        <v>25.566371681271999</v>
      </c>
      <c r="I1505" s="34">
        <f>(C1505*1.16814159292)+(-2)</f>
        <v>22.998230088488</v>
      </c>
      <c r="J1505" s="34">
        <f>(C1505*1.1238938053)+(-3.9)</f>
        <v>20.151327433420001</v>
      </c>
      <c r="K1505" s="34">
        <f>(C1505*1.07964601769)+(-5.6)</f>
        <v>17.504424778565998</v>
      </c>
    </row>
    <row r="1506" spans="1:11" ht="19.95" customHeight="1" x14ac:dyDescent="0.25">
      <c r="A1506" s="13" t="str">
        <f>"28700"</f>
        <v>28700</v>
      </c>
      <c r="B1506" s="14" t="s">
        <v>1849</v>
      </c>
      <c r="C1506" s="13" t="str">
        <f>"9.7"</f>
        <v>9.7</v>
      </c>
      <c r="D1506" s="32">
        <f>(C1506*1.24778761061)+(0.4)</f>
        <v>12.503539822917</v>
      </c>
      <c r="E1506" s="33">
        <f>(C1506*1.16814159292)+(-1)</f>
        <v>10.330973451324001</v>
      </c>
      <c r="F1506" s="33">
        <f>(C1506*1.1238938053)+(-4.4)</f>
        <v>6.5017699114099994</v>
      </c>
      <c r="G1506" s="33">
        <f>(C1506*1.06194690265)+(-5.9)</f>
        <v>4.4008849557049974</v>
      </c>
      <c r="H1506" s="34">
        <f>(C1506*1.19469026548)+(0)</f>
        <v>11.588495575155999</v>
      </c>
      <c r="I1506" s="34">
        <f>(C1506*1.16814159292)+(-2)</f>
        <v>9.3309734513240006</v>
      </c>
      <c r="J1506" s="34">
        <f>(C1506*1.1238938053)+(-3.9)</f>
        <v>7.0017699114099994</v>
      </c>
      <c r="K1506" s="34">
        <f>(C1506*1.07964601769)+(-5.6)</f>
        <v>4.872566371592999</v>
      </c>
    </row>
    <row r="1507" spans="1:11" ht="19.95" customHeight="1" x14ac:dyDescent="0.25">
      <c r="A1507" s="13" t="str">
        <f>"42767"</f>
        <v>42767</v>
      </c>
      <c r="B1507" s="14" t="s">
        <v>1850</v>
      </c>
      <c r="C1507" s="13" t="str">
        <f>"25.9"</f>
        <v>25.9</v>
      </c>
      <c r="D1507" s="32">
        <f>(C1507*1.24778761061)+(0.4)</f>
        <v>32.717699114798997</v>
      </c>
      <c r="E1507" s="33">
        <f>(C1507*1.16814159292)+(-1)</f>
        <v>29.254867256628</v>
      </c>
      <c r="F1507" s="33">
        <f>(C1507*1.1238938053)+(-4.4)</f>
        <v>24.70884955727</v>
      </c>
      <c r="G1507" s="33">
        <f>(C1507*1.06194690265)+(-5.9)</f>
        <v>21.604424778634993</v>
      </c>
      <c r="H1507" s="34">
        <f>(C1507*1.19469026548)+(0)</f>
        <v>30.942477875931999</v>
      </c>
      <c r="I1507" s="34">
        <f>(C1507*1.16814159292)+(-2)</f>
        <v>28.254867256628</v>
      </c>
      <c r="J1507" s="34">
        <f>(C1507*1.1238938053)+(-3.9)</f>
        <v>25.20884955727</v>
      </c>
      <c r="K1507" s="34">
        <f>(C1507*1.07964601769)+(-5.6)</f>
        <v>22.362831858170999</v>
      </c>
    </row>
    <row r="1508" spans="1:11" ht="19.95" customHeight="1" x14ac:dyDescent="0.25">
      <c r="A1508" s="13" t="str">
        <f>"67737"</f>
        <v>67737</v>
      </c>
      <c r="B1508" s="14" t="s">
        <v>1851</v>
      </c>
      <c r="C1508" s="13" t="str">
        <f>"23.2"</f>
        <v>23.2</v>
      </c>
      <c r="D1508" s="32">
        <f>(C1508*1.24778761061)+(0.4)</f>
        <v>29.348672566152</v>
      </c>
      <c r="E1508" s="33">
        <f>(C1508*1.16814159292)+(-1)</f>
        <v>26.100884955744</v>
      </c>
      <c r="F1508" s="33">
        <f>(C1508*1.1238938053)+(-4.4)</f>
        <v>21.674336282959999</v>
      </c>
      <c r="G1508" s="33">
        <f>(C1508*1.06194690265)+(-5.9)</f>
        <v>18.737168141479998</v>
      </c>
      <c r="H1508" s="34">
        <f>(C1508*1.19469026548)+(0)</f>
        <v>27.716814159136</v>
      </c>
      <c r="I1508" s="34">
        <f>(C1508*1.16814159292)+(-2)</f>
        <v>25.100884955744</v>
      </c>
      <c r="J1508" s="34">
        <f>(C1508*1.1238938053)+(-3.9)</f>
        <v>22.174336282960002</v>
      </c>
      <c r="K1508" s="34">
        <f>(C1508*1.07964601769)+(-5.6)</f>
        <v>19.447787610408</v>
      </c>
    </row>
    <row r="1509" spans="1:11" ht="19.95" customHeight="1" x14ac:dyDescent="0.25">
      <c r="A1509" s="13" t="str">
        <f>"1015367"</f>
        <v>1015367</v>
      </c>
      <c r="B1509" s="14" t="s">
        <v>1852</v>
      </c>
      <c r="C1509" s="13" t="str">
        <f>"26.3"</f>
        <v>26.3</v>
      </c>
      <c r="D1509" s="32">
        <f>(C1509*1.24778761061)+(0.4)</f>
        <v>33.216814159043004</v>
      </c>
      <c r="E1509" s="33">
        <f>(C1509*1.16814159292)+(-1)</f>
        <v>29.722123893796002</v>
      </c>
      <c r="F1509" s="33">
        <f>(C1509*1.1238938053)+(-4.4)</f>
        <v>25.158407079390003</v>
      </c>
      <c r="G1509" s="33">
        <f>(C1509*1.06194690265)+(-5.9)</f>
        <v>22.029203539694997</v>
      </c>
      <c r="H1509" s="34">
        <f>(C1509*1.19469026548)+(0)</f>
        <v>31.420353982124002</v>
      </c>
      <c r="I1509" s="34">
        <f>(C1509*1.16814159292)+(-2)</f>
        <v>28.722123893796002</v>
      </c>
      <c r="J1509" s="34">
        <f>(C1509*1.1238938053)+(-3.9)</f>
        <v>25.658407079390003</v>
      </c>
      <c r="K1509" s="34">
        <f>(C1509*1.07964601769)+(-5.6)</f>
        <v>22.794690265246999</v>
      </c>
    </row>
    <row r="1510" spans="1:11" ht="19.95" customHeight="1" x14ac:dyDescent="0.25">
      <c r="A1510" s="13" t="str">
        <f>"17155"</f>
        <v>17155</v>
      </c>
      <c r="B1510" s="14" t="s">
        <v>1853</v>
      </c>
      <c r="C1510" s="13" t="str">
        <f>"16.6"</f>
        <v>16.6</v>
      </c>
      <c r="D1510" s="32">
        <f>(C1510*1.24778761061)+(0.4)</f>
        <v>21.113274336126</v>
      </c>
      <c r="E1510" s="33">
        <f>(C1510*1.16814159292)+(-1)</f>
        <v>18.391150442472004</v>
      </c>
      <c r="F1510" s="33">
        <f>(C1510*1.1238938053)+(-4.4)</f>
        <v>14.256637167980001</v>
      </c>
      <c r="G1510" s="33">
        <f>(C1510*1.06194690265)+(-5.9)</f>
        <v>11.728318583990001</v>
      </c>
      <c r="H1510" s="34">
        <f>(C1510*1.19469026548)+(0)</f>
        <v>19.831858406968003</v>
      </c>
      <c r="I1510" s="34">
        <f>(C1510*1.16814159292)+(-2)</f>
        <v>17.391150442472004</v>
      </c>
      <c r="J1510" s="34">
        <f>(C1510*1.1238938053)+(-3.9)</f>
        <v>14.756637167980001</v>
      </c>
      <c r="K1510" s="34">
        <f>(C1510*1.07964601769)+(-5.6)</f>
        <v>12.322123893654004</v>
      </c>
    </row>
    <row r="1511" spans="1:11" ht="19.95" customHeight="1" x14ac:dyDescent="0.25">
      <c r="A1511" s="13" t="str">
        <f>"17160"</f>
        <v>17160</v>
      </c>
      <c r="B1511" s="14" t="s">
        <v>1854</v>
      </c>
      <c r="C1511" s="13" t="str">
        <f>"12.3"</f>
        <v>12.3</v>
      </c>
      <c r="D1511" s="32">
        <f>(C1511*1.24778761061)+(0.4)</f>
        <v>15.747787610503002</v>
      </c>
      <c r="E1511" s="33">
        <f>(C1511*1.16814159292)+(-1)</f>
        <v>13.368141592916002</v>
      </c>
      <c r="F1511" s="33">
        <f>(C1511*1.1238938053)+(-4.4)</f>
        <v>9.4238938051900014</v>
      </c>
      <c r="G1511" s="33">
        <f>(C1511*1.06194690265)+(-5.9)</f>
        <v>7.161946902595</v>
      </c>
      <c r="H1511" s="34">
        <f>(C1511*1.19469026548)+(0)</f>
        <v>14.694690265404001</v>
      </c>
      <c r="I1511" s="34">
        <f>(C1511*1.16814159292)+(-2)</f>
        <v>12.368141592916002</v>
      </c>
      <c r="J1511" s="34">
        <f>(C1511*1.1238938053)+(-3.9)</f>
        <v>9.9238938051900014</v>
      </c>
      <c r="K1511" s="34">
        <f>(C1511*1.07964601769)+(-5.6)</f>
        <v>7.679646017587002</v>
      </c>
    </row>
    <row r="1512" spans="1:11" ht="19.95" customHeight="1" x14ac:dyDescent="0.25">
      <c r="A1512" s="13" t="str">
        <f>"77077"</f>
        <v>77077</v>
      </c>
      <c r="B1512" s="14" t="s">
        <v>1855</v>
      </c>
      <c r="C1512" s="13" t="str">
        <f>"7.0"</f>
        <v>7.0</v>
      </c>
      <c r="D1512" s="32">
        <f>(C1512*1.24778761061)+(0.4)</f>
        <v>9.1345132742700006</v>
      </c>
      <c r="E1512" s="33">
        <f>(C1512*1.16814159292)+(-1)</f>
        <v>7.176991150440001</v>
      </c>
      <c r="F1512" s="33">
        <f>(C1512*1.1238938053)+(-4.4)</f>
        <v>3.4672566371000002</v>
      </c>
      <c r="G1512" s="33">
        <f>(C1512*1.06194690265)+(-5.9)</f>
        <v>1.533628318549999</v>
      </c>
      <c r="H1512" s="34">
        <f>(C1512*1.19469026548)+(0)</f>
        <v>8.3628318583599999</v>
      </c>
      <c r="I1512" s="34">
        <f>(C1512*1.16814159292)+(-2)</f>
        <v>6.176991150440001</v>
      </c>
      <c r="J1512" s="34">
        <f>(C1512*1.1238938053)+(-3.9)</f>
        <v>3.9672566371000006</v>
      </c>
      <c r="K1512" s="34">
        <f>(C1512*1.07964601769)+(-5.6)</f>
        <v>1.9575221238300005</v>
      </c>
    </row>
    <row r="1513" spans="1:11" ht="19.95" customHeight="1" x14ac:dyDescent="0.25">
      <c r="A1513" s="13" t="str">
        <f>"17163"</f>
        <v>17163</v>
      </c>
      <c r="B1513" s="14" t="s">
        <v>1856</v>
      </c>
      <c r="C1513" s="13" t="str">
        <f>"16.9"</f>
        <v>16.9</v>
      </c>
      <c r="D1513" s="32">
        <f>(C1513*1.24778761061)+(0.4)</f>
        <v>21.487610619308999</v>
      </c>
      <c r="E1513" s="33">
        <f>(C1513*1.16814159292)+(-1)</f>
        <v>18.741592920348001</v>
      </c>
      <c r="F1513" s="33">
        <f>(C1513*1.1238938053)+(-4.4)</f>
        <v>14.59380530957</v>
      </c>
      <c r="G1513" s="33">
        <f>(C1513*1.06194690265)+(-5.9)</f>
        <v>12.046902654784995</v>
      </c>
      <c r="H1513" s="34">
        <f>(C1513*1.19469026548)+(0)</f>
        <v>20.190265486611999</v>
      </c>
      <c r="I1513" s="34">
        <f>(C1513*1.16814159292)+(-2)</f>
        <v>17.741592920348001</v>
      </c>
      <c r="J1513" s="34">
        <f>(C1513*1.1238938053)+(-3.9)</f>
        <v>15.09380530957</v>
      </c>
      <c r="K1513" s="34">
        <f>(C1513*1.07964601769)+(-5.6)</f>
        <v>12.646017698960998</v>
      </c>
    </row>
    <row r="1514" spans="1:11" ht="19.95" customHeight="1" x14ac:dyDescent="0.25">
      <c r="A1514" s="13" t="str">
        <f>"17166"</f>
        <v>17166</v>
      </c>
      <c r="B1514" s="14" t="s">
        <v>1857</v>
      </c>
      <c r="C1514" s="13" t="str">
        <f>"23.6"</f>
        <v>23.6</v>
      </c>
      <c r="D1514" s="32">
        <f>(C1514*1.24778761061)+(0.4)</f>
        <v>29.847787610396004</v>
      </c>
      <c r="E1514" s="33">
        <f>(C1514*1.16814159292)+(-1)</f>
        <v>26.568141592912003</v>
      </c>
      <c r="F1514" s="33">
        <f>(C1514*1.1238938053)+(-4.4)</f>
        <v>22.123893805080002</v>
      </c>
      <c r="G1514" s="33">
        <f>(C1514*1.06194690265)+(-5.9)</f>
        <v>19.161946902540002</v>
      </c>
      <c r="H1514" s="34">
        <f>(C1514*1.19469026548)+(0)</f>
        <v>28.194690265328003</v>
      </c>
      <c r="I1514" s="34">
        <f>(C1514*1.16814159292)+(-2)</f>
        <v>25.568141592912003</v>
      </c>
      <c r="J1514" s="34">
        <f>(C1514*1.1238938053)+(-3.9)</f>
        <v>22.623893805080005</v>
      </c>
      <c r="K1514" s="34">
        <f>(C1514*1.07964601769)+(-5.6)</f>
        <v>19.879646017483999</v>
      </c>
    </row>
    <row r="1515" spans="1:11" ht="19.95" customHeight="1" x14ac:dyDescent="0.25">
      <c r="A1515" s="13" t="str">
        <f>"18364"</f>
        <v>18364</v>
      </c>
      <c r="B1515" s="14" t="s">
        <v>1858</v>
      </c>
      <c r="C1515" s="13" t="str">
        <f>"30.9"</f>
        <v>30.9</v>
      </c>
      <c r="D1515" s="32">
        <f>(C1515*1.24778761061)+(0.4)</f>
        <v>38.956637167849003</v>
      </c>
      <c r="E1515" s="33">
        <f>(C1515*1.16814159292)+(-1)</f>
        <v>35.095575221228003</v>
      </c>
      <c r="F1515" s="33">
        <f>(C1515*1.1238938053)+(-4.4)</f>
        <v>30.328318583769999</v>
      </c>
      <c r="G1515" s="33">
        <f>(C1515*1.06194690265)+(-5.9)</f>
        <v>26.914159291884999</v>
      </c>
      <c r="H1515" s="34">
        <f>(C1515*1.19469026548)+(0)</f>
        <v>36.915929203331999</v>
      </c>
      <c r="I1515" s="34">
        <f>(C1515*1.16814159292)+(-2)</f>
        <v>34.095575221228003</v>
      </c>
      <c r="J1515" s="34">
        <f>(C1515*1.1238938053)+(-3.9)</f>
        <v>30.828318583769999</v>
      </c>
      <c r="K1515" s="34">
        <f>(C1515*1.07964601769)+(-5.6)</f>
        <v>27.761061946620998</v>
      </c>
    </row>
    <row r="1516" spans="1:11" ht="19.95" customHeight="1" x14ac:dyDescent="0.25">
      <c r="A1516" s="13" t="str">
        <f>"17169"</f>
        <v>17169</v>
      </c>
      <c r="B1516" s="14" t="s">
        <v>1859</v>
      </c>
      <c r="C1516" s="13" t="str">
        <f>"20.2"</f>
        <v>20.2</v>
      </c>
      <c r="D1516" s="32">
        <f>(C1516*1.24778761061)+(0.4)</f>
        <v>25.605309734321999</v>
      </c>
      <c r="E1516" s="33">
        <f>(C1516*1.16814159292)+(-1)</f>
        <v>22.596460176983999</v>
      </c>
      <c r="F1516" s="33">
        <f>(C1516*1.1238938053)+(-4.4)</f>
        <v>18.302654867059999</v>
      </c>
      <c r="G1516" s="33">
        <f>(C1516*1.06194690265)+(-5.9)</f>
        <v>15.551327433529996</v>
      </c>
      <c r="H1516" s="34">
        <f>(C1516*1.19469026548)+(0)</f>
        <v>24.132743362696001</v>
      </c>
      <c r="I1516" s="34">
        <f>(C1516*1.16814159292)+(-2)</f>
        <v>21.596460176983999</v>
      </c>
      <c r="J1516" s="34">
        <f>(C1516*1.1238938053)+(-3.9)</f>
        <v>18.802654867060003</v>
      </c>
      <c r="K1516" s="34">
        <f>(C1516*1.07964601769)+(-5.6)</f>
        <v>16.208849557337999</v>
      </c>
    </row>
    <row r="1517" spans="1:11" ht="19.95" customHeight="1" x14ac:dyDescent="0.25">
      <c r="A1517" s="13" t="str">
        <f>"1001066"</f>
        <v>1001066</v>
      </c>
      <c r="B1517" s="14" t="s">
        <v>1860</v>
      </c>
      <c r="C1517" s="13" t="str">
        <f>"17.8"</f>
        <v>17.8</v>
      </c>
      <c r="D1517" s="32">
        <f>(C1517*1.24778761061)+(0.4)</f>
        <v>22.610619468858001</v>
      </c>
      <c r="E1517" s="33">
        <f>(C1517*1.16814159292)+(-1)</f>
        <v>19.792920353976001</v>
      </c>
      <c r="F1517" s="33">
        <f>(C1517*1.1238938053)+(-4.4)</f>
        <v>15.605309734340002</v>
      </c>
      <c r="G1517" s="33">
        <f>(C1517*1.06194690265)+(-5.9)</f>
        <v>13.00265486717</v>
      </c>
      <c r="H1517" s="34">
        <f>(C1517*1.19469026548)+(0)</f>
        <v>21.265486725544001</v>
      </c>
      <c r="I1517" s="34">
        <f>(C1517*1.16814159292)+(-2)</f>
        <v>18.792920353976001</v>
      </c>
      <c r="J1517" s="34">
        <f>(C1517*1.1238938053)+(-3.9)</f>
        <v>16.105309734340004</v>
      </c>
      <c r="K1517" s="34">
        <f>(C1517*1.07964601769)+(-5.6)</f>
        <v>13.617699114882003</v>
      </c>
    </row>
    <row r="1518" spans="1:11" ht="19.95" customHeight="1" x14ac:dyDescent="0.25">
      <c r="A1518" s="13" t="str">
        <f>"21312"</f>
        <v>21312</v>
      </c>
      <c r="B1518" s="14" t="s">
        <v>1861</v>
      </c>
      <c r="C1518" s="13" t="str">
        <f>"33.8"</f>
        <v>33.8</v>
      </c>
      <c r="D1518" s="32">
        <f>(C1518*1.24778761061)+(0.4)</f>
        <v>42.575221238617999</v>
      </c>
      <c r="E1518" s="33">
        <f>(C1518*1.16814159292)+(-1)</f>
        <v>38.483185840696002</v>
      </c>
      <c r="F1518" s="33">
        <f>(C1518*1.1238938053)+(-4.4)</f>
        <v>33.587610619140001</v>
      </c>
      <c r="G1518" s="33">
        <f>(C1518*1.06194690265)+(-5.9)</f>
        <v>29.993805309569993</v>
      </c>
      <c r="H1518" s="34">
        <f>(C1518*1.19469026548)+(0)</f>
        <v>40.380530973223998</v>
      </c>
      <c r="I1518" s="34">
        <f>(C1518*1.16814159292)+(-2)</f>
        <v>37.483185840696002</v>
      </c>
      <c r="J1518" s="34">
        <f>(C1518*1.1238938053)+(-3.9)</f>
        <v>34.087610619140001</v>
      </c>
      <c r="K1518" s="34">
        <f>(C1518*1.07964601769)+(-5.6)</f>
        <v>30.892035397921994</v>
      </c>
    </row>
    <row r="1519" spans="1:11" ht="19.95" customHeight="1" x14ac:dyDescent="0.25">
      <c r="A1519" s="13" t="str">
        <f>"70493"</f>
        <v>70493</v>
      </c>
      <c r="B1519" s="14" t="s">
        <v>1862</v>
      </c>
      <c r="C1519" s="13" t="str">
        <f>"18.9"</f>
        <v>18.9</v>
      </c>
      <c r="D1519" s="32">
        <f>(C1519*1.24778761061)+(0.4)</f>
        <v>23.983185840529</v>
      </c>
      <c r="E1519" s="33">
        <f>(C1519*1.16814159292)+(-1)</f>
        <v>21.077876106188</v>
      </c>
      <c r="F1519" s="33">
        <f>(C1519*1.1238938053)+(-4.4)</f>
        <v>16.841592920170001</v>
      </c>
      <c r="G1519" s="33">
        <f>(C1519*1.06194690265)+(-5.9)</f>
        <v>14.170796460084995</v>
      </c>
      <c r="H1519" s="34">
        <f>(C1519*1.19469026548)+(0)</f>
        <v>22.579646017571999</v>
      </c>
      <c r="I1519" s="34">
        <f>(C1519*1.16814159292)+(-2)</f>
        <v>20.077876106188</v>
      </c>
      <c r="J1519" s="34">
        <f>(C1519*1.1238938053)+(-3.9)</f>
        <v>17.341592920170001</v>
      </c>
      <c r="K1519" s="34">
        <f>(C1519*1.07964601769)+(-5.6)</f>
        <v>14.805309734341</v>
      </c>
    </row>
    <row r="1520" spans="1:11" ht="19.95" customHeight="1" x14ac:dyDescent="0.25">
      <c r="A1520" s="13" t="str">
        <f>"37826"</f>
        <v>37826</v>
      </c>
      <c r="B1520" s="14" t="s">
        <v>1863</v>
      </c>
      <c r="C1520" s="13" t="str">
        <f>"21.7"</f>
        <v>21.7</v>
      </c>
      <c r="D1520" s="32">
        <f>(C1520*1.24778761061)+(0.4)</f>
        <v>27.476991150237001</v>
      </c>
      <c r="E1520" s="33">
        <f>(C1520*1.16814159292)+(-1)</f>
        <v>24.348672566364002</v>
      </c>
      <c r="F1520" s="33">
        <f>(C1520*1.1238938053)+(-4.4)</f>
        <v>19.988495575009999</v>
      </c>
      <c r="G1520" s="33">
        <f>(C1520*1.06194690265)+(-5.9)</f>
        <v>17.144247787504995</v>
      </c>
      <c r="H1520" s="34">
        <f>(C1520*1.19469026548)+(0)</f>
        <v>25.924778760915999</v>
      </c>
      <c r="I1520" s="34">
        <f>(C1520*1.16814159292)+(-2)</f>
        <v>23.348672566364002</v>
      </c>
      <c r="J1520" s="34">
        <f>(C1520*1.1238938053)+(-3.9)</f>
        <v>20.488495575010003</v>
      </c>
      <c r="K1520" s="34">
        <f>(C1520*1.07964601769)+(-5.6)</f>
        <v>17.828318583872999</v>
      </c>
    </row>
    <row r="1521" spans="1:11" ht="19.95" customHeight="1" x14ac:dyDescent="0.25">
      <c r="A1521" s="13" t="str">
        <f>"74968"</f>
        <v>74968</v>
      </c>
      <c r="B1521" s="14" t="s">
        <v>1864</v>
      </c>
      <c r="C1521" s="13" t="str">
        <f>"23.0"</f>
        <v>23.0</v>
      </c>
      <c r="D1521" s="32">
        <f>(C1521*1.24778761061)+(0.4)</f>
        <v>29.09911504403</v>
      </c>
      <c r="E1521" s="33">
        <f>(C1521*1.16814159292)+(-1)</f>
        <v>25.867256637160001</v>
      </c>
      <c r="F1521" s="33">
        <f>(C1521*1.1238938053)+(-4.4)</f>
        <v>21.449557521899997</v>
      </c>
      <c r="G1521" s="33">
        <f>(C1521*1.06194690265)+(-5.9)</f>
        <v>18.524778760949999</v>
      </c>
      <c r="H1521" s="34">
        <f>(C1521*1.19469026548)+(0)</f>
        <v>27.47787610604</v>
      </c>
      <c r="I1521" s="34">
        <f>(C1521*1.16814159292)+(-2)</f>
        <v>24.867256637160001</v>
      </c>
      <c r="J1521" s="34">
        <f>(C1521*1.1238938053)+(-3.9)</f>
        <v>21.949557521900001</v>
      </c>
      <c r="K1521" s="34">
        <f>(C1521*1.07964601769)+(-5.6)</f>
        <v>19.231858406870003</v>
      </c>
    </row>
    <row r="1522" spans="1:11" ht="19.95" customHeight="1" x14ac:dyDescent="0.25">
      <c r="A1522" s="13" t="str">
        <f>"74969"</f>
        <v>74969</v>
      </c>
      <c r="B1522" s="14" t="s">
        <v>1865</v>
      </c>
      <c r="C1522" s="13" t="str">
        <f>"16.2"</f>
        <v>16.2</v>
      </c>
      <c r="D1522" s="32">
        <f>(C1522*1.24778761061)+(0.4)</f>
        <v>20.614159291882</v>
      </c>
      <c r="E1522" s="33">
        <f>(C1522*1.16814159292)+(-1)</f>
        <v>17.923893805304001</v>
      </c>
      <c r="F1522" s="33">
        <f>(C1522*1.1238938053)+(-4.4)</f>
        <v>13.807079645859998</v>
      </c>
      <c r="G1522" s="33">
        <f>(C1522*1.06194690265)+(-5.9)</f>
        <v>11.303539822929997</v>
      </c>
      <c r="H1522" s="34">
        <f>(C1522*1.19469026548)+(0)</f>
        <v>19.353982300776</v>
      </c>
      <c r="I1522" s="34">
        <f>(C1522*1.16814159292)+(-2)</f>
        <v>16.923893805304001</v>
      </c>
      <c r="J1522" s="34">
        <f>(C1522*1.1238938053)+(-3.9)</f>
        <v>14.307079645859998</v>
      </c>
      <c r="K1522" s="34">
        <f>(C1522*1.07964601769)+(-5.6)</f>
        <v>11.890265486578</v>
      </c>
    </row>
    <row r="1523" spans="1:11" ht="19.95" customHeight="1" x14ac:dyDescent="0.25">
      <c r="A1523" s="13" t="str">
        <f>"40490"</f>
        <v>40490</v>
      </c>
      <c r="B1523" s="14" t="s">
        <v>1866</v>
      </c>
      <c r="C1523" s="13" t="str">
        <f>"18.9"</f>
        <v>18.9</v>
      </c>
      <c r="D1523" s="32">
        <f>(C1523*1.24778761061)+(0.4)</f>
        <v>23.983185840529</v>
      </c>
      <c r="E1523" s="33">
        <f>(C1523*1.16814159292)+(-1)</f>
        <v>21.077876106188</v>
      </c>
      <c r="F1523" s="33">
        <f>(C1523*1.1238938053)+(-4.4)</f>
        <v>16.841592920170001</v>
      </c>
      <c r="G1523" s="33">
        <f>(C1523*1.06194690265)+(-5.9)</f>
        <v>14.170796460084995</v>
      </c>
      <c r="H1523" s="34">
        <f>(C1523*1.19469026548)+(0)</f>
        <v>22.579646017571999</v>
      </c>
      <c r="I1523" s="34">
        <f>(C1523*1.16814159292)+(-2)</f>
        <v>20.077876106188</v>
      </c>
      <c r="J1523" s="34">
        <f>(C1523*1.1238938053)+(-3.9)</f>
        <v>17.341592920170001</v>
      </c>
      <c r="K1523" s="34">
        <f>(C1523*1.07964601769)+(-5.6)</f>
        <v>14.805309734341</v>
      </c>
    </row>
    <row r="1524" spans="1:11" ht="19.95" customHeight="1" x14ac:dyDescent="0.25">
      <c r="A1524" s="13" t="str">
        <f>"4213"</f>
        <v>4213</v>
      </c>
      <c r="B1524" s="14" t="s">
        <v>1867</v>
      </c>
      <c r="C1524" s="13" t="str">
        <f>"9.7"</f>
        <v>9.7</v>
      </c>
      <c r="D1524" s="32">
        <f>(C1524*1.24778761061)+(0.4)</f>
        <v>12.503539822917</v>
      </c>
      <c r="E1524" s="33">
        <f>(C1524*1.16814159292)+(-1)</f>
        <v>10.330973451324001</v>
      </c>
      <c r="F1524" s="33">
        <f>(C1524*1.1238938053)+(-4.4)</f>
        <v>6.5017699114099994</v>
      </c>
      <c r="G1524" s="33">
        <f>(C1524*1.06194690265)+(-5.9)</f>
        <v>4.4008849557049974</v>
      </c>
      <c r="H1524" s="34">
        <f>(C1524*1.19469026548)+(0)</f>
        <v>11.588495575155999</v>
      </c>
      <c r="I1524" s="34">
        <f>(C1524*1.16814159292)+(-2)</f>
        <v>9.3309734513240006</v>
      </c>
      <c r="J1524" s="34">
        <f>(C1524*1.1238938053)+(-3.9)</f>
        <v>7.0017699114099994</v>
      </c>
      <c r="K1524" s="34">
        <f>(C1524*1.07964601769)+(-5.6)</f>
        <v>4.872566371592999</v>
      </c>
    </row>
    <row r="1525" spans="1:11" ht="19.95" customHeight="1" x14ac:dyDescent="0.25">
      <c r="A1525" s="13" t="str">
        <f>"23844"</f>
        <v>23844</v>
      </c>
      <c r="B1525" s="14" t="s">
        <v>1868</v>
      </c>
      <c r="C1525" s="13" t="str">
        <f>"19.9"</f>
        <v>19.9</v>
      </c>
      <c r="D1525" s="32">
        <f>(C1525*1.24778761061)+(0.4)</f>
        <v>25.230973451139</v>
      </c>
      <c r="E1525" s="33">
        <f>(C1525*1.16814159292)+(-1)</f>
        <v>22.246017699107998</v>
      </c>
      <c r="F1525" s="33">
        <f>(C1525*1.1238938053)+(-4.4)</f>
        <v>17.965486725470001</v>
      </c>
      <c r="G1525" s="33">
        <f>(C1525*1.06194690265)+(-5.9)</f>
        <v>15.232743362734995</v>
      </c>
      <c r="H1525" s="34">
        <f>(C1525*1.19469026548)+(0)</f>
        <v>23.774336283051998</v>
      </c>
      <c r="I1525" s="34">
        <f>(C1525*1.16814159292)+(-2)</f>
        <v>21.246017699107998</v>
      </c>
      <c r="J1525" s="34">
        <f>(C1525*1.1238938053)+(-3.9)</f>
        <v>18.465486725470001</v>
      </c>
      <c r="K1525" s="34">
        <f>(C1525*1.07964601769)+(-5.6)</f>
        <v>15.884955752030999</v>
      </c>
    </row>
    <row r="1526" spans="1:11" ht="19.95" customHeight="1" x14ac:dyDescent="0.25">
      <c r="A1526" s="13" t="str">
        <f>"1004132"</f>
        <v>1004132</v>
      </c>
      <c r="B1526" s="14" t="s">
        <v>1869</v>
      </c>
      <c r="C1526" s="13" t="str">
        <f>"17.8"</f>
        <v>17.8</v>
      </c>
      <c r="D1526" s="32">
        <f>(C1526*1.24778761061)+(0.4)</f>
        <v>22.610619468858001</v>
      </c>
      <c r="E1526" s="33">
        <f>(C1526*1.16814159292)+(-1)</f>
        <v>19.792920353976001</v>
      </c>
      <c r="F1526" s="33">
        <f>(C1526*1.1238938053)+(-4.4)</f>
        <v>15.605309734340002</v>
      </c>
      <c r="G1526" s="33">
        <f>(C1526*1.06194690265)+(-5.9)</f>
        <v>13.00265486717</v>
      </c>
      <c r="H1526" s="34">
        <f>(C1526*1.19469026548)+(0)</f>
        <v>21.265486725544001</v>
      </c>
      <c r="I1526" s="34">
        <f>(C1526*1.16814159292)+(-2)</f>
        <v>18.792920353976001</v>
      </c>
      <c r="J1526" s="34">
        <f>(C1526*1.1238938053)+(-3.9)</f>
        <v>16.105309734340004</v>
      </c>
      <c r="K1526" s="34">
        <f>(C1526*1.07964601769)+(-5.6)</f>
        <v>13.617699114882003</v>
      </c>
    </row>
    <row r="1527" spans="1:11" ht="19.95" customHeight="1" x14ac:dyDescent="0.25">
      <c r="A1527" s="13" t="str">
        <f>"22352"</f>
        <v>22352</v>
      </c>
      <c r="B1527" s="14" t="s">
        <v>1870</v>
      </c>
      <c r="C1527" s="13" t="str">
        <f>"10.3"</f>
        <v>10.3</v>
      </c>
      <c r="D1527" s="32">
        <f>(C1527*1.24778761061)+(0.4)</f>
        <v>13.252212389283002</v>
      </c>
      <c r="E1527" s="33">
        <f>(C1527*1.16814159292)+(-1)</f>
        <v>11.031858407076001</v>
      </c>
      <c r="F1527" s="33">
        <f>(C1527*1.1238938053)+(-4.4)</f>
        <v>7.1761061945900018</v>
      </c>
      <c r="G1527" s="33">
        <f>(C1527*1.06194690265)+(-5.9)</f>
        <v>5.0380530972950002</v>
      </c>
      <c r="H1527" s="34">
        <f>(C1527*1.19469026548)+(0)</f>
        <v>12.305309734444</v>
      </c>
      <c r="I1527" s="34">
        <f>(C1527*1.16814159292)+(-2)</f>
        <v>10.031858407076001</v>
      </c>
      <c r="J1527" s="34">
        <f>(C1527*1.1238938053)+(-3.9)</f>
        <v>7.6761061945900018</v>
      </c>
      <c r="K1527" s="34">
        <f>(C1527*1.07964601769)+(-5.6)</f>
        <v>5.520353982207002</v>
      </c>
    </row>
    <row r="1528" spans="1:11" ht="19.95" customHeight="1" x14ac:dyDescent="0.25">
      <c r="A1528" s="13" t="str">
        <f>"17178"</f>
        <v>17178</v>
      </c>
      <c r="B1528" s="14" t="s">
        <v>1871</v>
      </c>
      <c r="C1528" s="13" t="str">
        <f>"23.9"</f>
        <v>23.9</v>
      </c>
      <c r="D1528" s="32">
        <f>(C1528*1.24778761061)+(0.4)</f>
        <v>30.222123893578999</v>
      </c>
      <c r="E1528" s="33">
        <f>(C1528*1.16814159292)+(-1)</f>
        <v>26.918584070788</v>
      </c>
      <c r="F1528" s="33">
        <f>(C1528*1.1238938053)+(-4.4)</f>
        <v>22.46106194667</v>
      </c>
      <c r="G1528" s="33">
        <f>(C1528*1.06194690265)+(-5.9)</f>
        <v>19.480530973334993</v>
      </c>
      <c r="H1528" s="34">
        <f>(C1528*1.19469026548)+(0)</f>
        <v>28.553097344971999</v>
      </c>
      <c r="I1528" s="34">
        <f>(C1528*1.16814159292)+(-2)</f>
        <v>25.918584070788</v>
      </c>
      <c r="J1528" s="34">
        <f>(C1528*1.1238938053)+(-3.9)</f>
        <v>22.96106194667</v>
      </c>
      <c r="K1528" s="34">
        <f>(C1528*1.07964601769)+(-5.6)</f>
        <v>20.203539822791001</v>
      </c>
    </row>
    <row r="1529" spans="1:11" ht="19.95" customHeight="1" x14ac:dyDescent="0.25">
      <c r="A1529" s="13" t="str">
        <f>"80336"</f>
        <v>80336</v>
      </c>
      <c r="B1529" s="14" t="s">
        <v>1872</v>
      </c>
      <c r="C1529" s="13" t="str">
        <f>"18.3"</f>
        <v>18.3</v>
      </c>
      <c r="D1529" s="32">
        <f>(C1529*1.24778761061)+(0.4)</f>
        <v>23.234513274163</v>
      </c>
      <c r="E1529" s="33">
        <f>(C1529*1.16814159292)+(-1)</f>
        <v>20.376991150436002</v>
      </c>
      <c r="F1529" s="33">
        <f>(C1529*1.1238938053)+(-4.4)</f>
        <v>16.167256636990004</v>
      </c>
      <c r="G1529" s="33">
        <f>(C1529*1.06194690265)+(-5.9)</f>
        <v>13.533628318494999</v>
      </c>
      <c r="H1529" s="34">
        <f>(C1529*1.19469026548)+(0)</f>
        <v>21.862831858284</v>
      </c>
      <c r="I1529" s="34">
        <f>(C1529*1.16814159292)+(-2)</f>
        <v>19.376991150436002</v>
      </c>
      <c r="J1529" s="34">
        <f>(C1529*1.1238938053)+(-3.9)</f>
        <v>16.667256636990004</v>
      </c>
      <c r="K1529" s="34">
        <f>(C1529*1.07964601769)+(-5.6)</f>
        <v>14.157522123727</v>
      </c>
    </row>
    <row r="1530" spans="1:11" ht="19.95" customHeight="1" x14ac:dyDescent="0.25">
      <c r="A1530" s="13" t="str">
        <f>"1001774"</f>
        <v>1001774</v>
      </c>
      <c r="B1530" s="14" t="s">
        <v>1873</v>
      </c>
      <c r="C1530" s="13" t="str">
        <f>"26.5"</f>
        <v>26.5</v>
      </c>
      <c r="D1530" s="32">
        <f>(C1530*1.24778761061)+(0.4)</f>
        <v>33.466371681165</v>
      </c>
      <c r="E1530" s="33">
        <f>(C1530*1.16814159292)+(-1)</f>
        <v>29.955752212380002</v>
      </c>
      <c r="F1530" s="33">
        <f>(C1530*1.1238938053)+(-4.4)</f>
        <v>25.383185840450004</v>
      </c>
      <c r="G1530" s="33">
        <f>(C1530*1.06194690265)+(-5.9)</f>
        <v>22.241592920224996</v>
      </c>
      <c r="H1530" s="34">
        <f>(C1530*1.19469026548)+(0)</f>
        <v>31.659292035220002</v>
      </c>
      <c r="I1530" s="34">
        <f>(C1530*1.16814159292)+(-2)</f>
        <v>28.955752212380002</v>
      </c>
      <c r="J1530" s="34">
        <f>(C1530*1.1238938053)+(-3.9)</f>
        <v>25.883185840450004</v>
      </c>
      <c r="K1530" s="34">
        <f>(C1530*1.07964601769)+(-5.6)</f>
        <v>23.010619468785002</v>
      </c>
    </row>
    <row r="1531" spans="1:11" ht="19.95" customHeight="1" x14ac:dyDescent="0.25">
      <c r="A1531" s="13" t="str">
        <f>"1003219"</f>
        <v>1003219</v>
      </c>
      <c r="B1531" s="14" t="s">
        <v>1874</v>
      </c>
      <c r="C1531" s="13" t="str">
        <f>"30.5"</f>
        <v>30.5</v>
      </c>
      <c r="D1531" s="32">
        <f>(C1531*1.24778761061)+(0.4)</f>
        <v>38.457522123605003</v>
      </c>
      <c r="E1531" s="33">
        <f>(C1531*1.16814159292)+(-1)</f>
        <v>34.628318584060004</v>
      </c>
      <c r="F1531" s="33">
        <f>(C1531*1.1238938053)+(-4.4)</f>
        <v>29.878761061650003</v>
      </c>
      <c r="G1531" s="33">
        <f>(C1531*1.06194690265)+(-5.9)</f>
        <v>26.489380530824995</v>
      </c>
      <c r="H1531" s="34">
        <f>(C1531*1.19469026548)+(0)</f>
        <v>36.438053097139999</v>
      </c>
      <c r="I1531" s="34">
        <f>(C1531*1.16814159292)+(-2)</f>
        <v>33.628318584060004</v>
      </c>
      <c r="J1531" s="34">
        <f>(C1531*1.1238938053)+(-3.9)</f>
        <v>30.378761061650003</v>
      </c>
      <c r="K1531" s="34">
        <f>(C1531*1.07964601769)+(-5.6)</f>
        <v>27.329203539544999</v>
      </c>
    </row>
    <row r="1532" spans="1:11" ht="19.95" customHeight="1" x14ac:dyDescent="0.25">
      <c r="A1532" s="13" t="str">
        <f>"5936"</f>
        <v>5936</v>
      </c>
      <c r="B1532" s="14" t="s">
        <v>1875</v>
      </c>
      <c r="C1532" s="13" t="str">
        <f>"16.4"</f>
        <v>16.4</v>
      </c>
      <c r="D1532" s="32">
        <f>(C1532*1.24778761061)+(0.4)</f>
        <v>20.863716814003997</v>
      </c>
      <c r="E1532" s="33">
        <f>(C1532*1.16814159292)+(-1)</f>
        <v>18.157522123888</v>
      </c>
      <c r="F1532" s="33">
        <f>(C1532*1.1238938053)+(-4.4)</f>
        <v>14.03185840692</v>
      </c>
      <c r="G1532" s="33">
        <f>(C1532*1.06194690265)+(-5.9)</f>
        <v>11.515929203459995</v>
      </c>
      <c r="H1532" s="34">
        <f>(C1532*1.19469026548)+(0)</f>
        <v>19.592920353872</v>
      </c>
      <c r="I1532" s="34">
        <f>(C1532*1.16814159292)+(-2)</f>
        <v>17.157522123888</v>
      </c>
      <c r="J1532" s="34">
        <f>(C1532*1.1238938053)+(-3.9)</f>
        <v>14.53185840692</v>
      </c>
      <c r="K1532" s="34">
        <f>(C1532*1.07964601769)+(-5.6)</f>
        <v>12.106194690116</v>
      </c>
    </row>
    <row r="1533" spans="1:11" ht="19.95" customHeight="1" x14ac:dyDescent="0.25">
      <c r="A1533" s="13" t="str">
        <f>"17183"</f>
        <v>17183</v>
      </c>
      <c r="B1533" s="14" t="s">
        <v>1876</v>
      </c>
      <c r="C1533" s="13" t="str">
        <f>"22.8"</f>
        <v>22.8</v>
      </c>
      <c r="D1533" s="32">
        <f>(C1533*1.24778761061)+(0.4)</f>
        <v>28.849557521908</v>
      </c>
      <c r="E1533" s="33">
        <f>(C1533*1.16814159292)+(-1)</f>
        <v>25.633628318576001</v>
      </c>
      <c r="F1533" s="33">
        <f>(C1533*1.1238938053)+(-4.4)</f>
        <v>21.224778760840003</v>
      </c>
      <c r="G1533" s="33">
        <f>(C1533*1.06194690265)+(-5.9)</f>
        <v>18.312389380420001</v>
      </c>
      <c r="H1533" s="34">
        <f>(C1533*1.19469026548)+(0)</f>
        <v>27.238938052944</v>
      </c>
      <c r="I1533" s="34">
        <f>(C1533*1.16814159292)+(-2)</f>
        <v>24.633628318576001</v>
      </c>
      <c r="J1533" s="34">
        <f>(C1533*1.1238938053)+(-3.9)</f>
        <v>21.724778760840003</v>
      </c>
      <c r="K1533" s="34">
        <f>(C1533*1.07964601769)+(-5.6)</f>
        <v>19.015929203332</v>
      </c>
    </row>
    <row r="1534" spans="1:11" ht="19.95" customHeight="1" x14ac:dyDescent="0.25">
      <c r="A1534" s="13" t="str">
        <f>"47230"</f>
        <v>47230</v>
      </c>
      <c r="B1534" s="14" t="s">
        <v>1877</v>
      </c>
      <c r="C1534" s="13" t="str">
        <f>"14.7"</f>
        <v>14.7</v>
      </c>
      <c r="D1534" s="32">
        <f>(C1534*1.24778761061)+(0.4)</f>
        <v>18.742477875966998</v>
      </c>
      <c r="E1534" s="33">
        <f>(C1534*1.16814159292)+(-1)</f>
        <v>16.171681415923999</v>
      </c>
      <c r="F1534" s="33">
        <f>(C1534*1.1238938053)+(-4.4)</f>
        <v>12.121238937909999</v>
      </c>
      <c r="G1534" s="33">
        <f>(C1534*1.06194690265)+(-5.9)</f>
        <v>9.7106194689549969</v>
      </c>
      <c r="H1534" s="34">
        <f>(C1534*1.19469026548)+(0)</f>
        <v>17.561946902555999</v>
      </c>
      <c r="I1534" s="34">
        <f>(C1534*1.16814159292)+(-2)</f>
        <v>15.171681415923999</v>
      </c>
      <c r="J1534" s="34">
        <f>(C1534*1.1238938053)+(-3.9)</f>
        <v>12.621238937909999</v>
      </c>
      <c r="K1534" s="34">
        <f>(C1534*1.07964601769)+(-5.6)</f>
        <v>10.270796460043</v>
      </c>
    </row>
    <row r="1535" spans="1:11" ht="19.95" customHeight="1" x14ac:dyDescent="0.25">
      <c r="A1535" s="13" t="str">
        <f>"17186"</f>
        <v>17186</v>
      </c>
      <c r="B1535" s="14" t="s">
        <v>1878</v>
      </c>
      <c r="C1535" s="13" t="str">
        <f>"13.5"</f>
        <v>13.5</v>
      </c>
      <c r="D1535" s="32">
        <f>(C1535*1.24778761061)+(0.4)</f>
        <v>17.245132743235001</v>
      </c>
      <c r="E1535" s="33">
        <f>(C1535*1.16814159292)+(-1)</f>
        <v>14.769911504420001</v>
      </c>
      <c r="F1535" s="33">
        <f>(C1535*1.1238938053)+(-4.4)</f>
        <v>10.772566371550001</v>
      </c>
      <c r="G1535" s="33">
        <f>(C1535*1.06194690265)+(-5.9)</f>
        <v>8.4362831857749985</v>
      </c>
      <c r="H1535" s="34">
        <f>(C1535*1.19469026548)+(0)</f>
        <v>16.128318583980001</v>
      </c>
      <c r="I1535" s="34">
        <f>(C1535*1.16814159292)+(-2)</f>
        <v>13.769911504420001</v>
      </c>
      <c r="J1535" s="34">
        <f>(C1535*1.1238938053)+(-3.9)</f>
        <v>11.272566371550001</v>
      </c>
      <c r="K1535" s="34">
        <f>(C1535*1.07964601769)+(-5.6)</f>
        <v>8.975221238815001</v>
      </c>
    </row>
    <row r="1536" spans="1:11" ht="19.95" customHeight="1" x14ac:dyDescent="0.25">
      <c r="A1536" s="13" t="str">
        <f>"44042"</f>
        <v>44042</v>
      </c>
      <c r="B1536" s="14" t="s">
        <v>1879</v>
      </c>
      <c r="C1536" s="13" t="str">
        <f>"19.6"</f>
        <v>19.6</v>
      </c>
      <c r="D1536" s="32">
        <f>(C1536*1.24778761061)+(0.4)</f>
        <v>24.856637167956002</v>
      </c>
      <c r="E1536" s="33">
        <f>(C1536*1.16814159292)+(-1)</f>
        <v>21.895575221232004</v>
      </c>
      <c r="F1536" s="33">
        <f>(C1536*1.1238938053)+(-4.4)</f>
        <v>17.628318583880002</v>
      </c>
      <c r="G1536" s="33">
        <f>(C1536*1.06194690265)+(-5.9)</f>
        <v>14.914159291940001</v>
      </c>
      <c r="H1536" s="34">
        <f>(C1536*1.19469026548)+(0)</f>
        <v>23.415929203408002</v>
      </c>
      <c r="I1536" s="34">
        <f>(C1536*1.16814159292)+(-2)</f>
        <v>20.895575221232004</v>
      </c>
      <c r="J1536" s="34">
        <f>(C1536*1.1238938053)+(-3.9)</f>
        <v>18.128318583880002</v>
      </c>
      <c r="K1536" s="34">
        <f>(C1536*1.07964601769)+(-5.6)</f>
        <v>15.561061946724001</v>
      </c>
    </row>
    <row r="1537" spans="1:11" ht="19.95" customHeight="1" x14ac:dyDescent="0.25">
      <c r="A1537" s="13" t="str">
        <f>"66581"</f>
        <v>66581</v>
      </c>
      <c r="B1537" s="14" t="s">
        <v>1880</v>
      </c>
      <c r="C1537" s="13" t="str">
        <f>"15.3"</f>
        <v>15.3</v>
      </c>
      <c r="D1537" s="32">
        <f>(C1537*1.24778761061)+(0.4)</f>
        <v>19.491150442333002</v>
      </c>
      <c r="E1537" s="33">
        <f>(C1537*1.16814159292)+(-1)</f>
        <v>16.872566371676001</v>
      </c>
      <c r="F1537" s="33">
        <f>(C1537*1.1238938053)+(-4.4)</f>
        <v>12.795575221090003</v>
      </c>
      <c r="G1537" s="33">
        <f>(C1537*1.06194690265)+(-5.9)</f>
        <v>10.347787610545</v>
      </c>
      <c r="H1537" s="34">
        <f>(C1537*1.19469026548)+(0)</f>
        <v>18.278761061844001</v>
      </c>
      <c r="I1537" s="34">
        <f>(C1537*1.16814159292)+(-2)</f>
        <v>15.872566371676001</v>
      </c>
      <c r="J1537" s="34">
        <f>(C1537*1.1238938053)+(-3.9)</f>
        <v>13.295575221090003</v>
      </c>
      <c r="K1537" s="34">
        <f>(C1537*1.07964601769)+(-5.6)</f>
        <v>10.918584070657003</v>
      </c>
    </row>
    <row r="1538" spans="1:11" ht="19.95" customHeight="1" x14ac:dyDescent="0.25">
      <c r="A1538" s="13" t="str">
        <f>"73150"</f>
        <v>73150</v>
      </c>
      <c r="B1538" s="14" t="s">
        <v>1881</v>
      </c>
      <c r="C1538" s="13" t="str">
        <f>"22.2"</f>
        <v>22.2</v>
      </c>
      <c r="D1538" s="32">
        <f>(C1538*1.24778761061)+(0.4)</f>
        <v>28.100884955542</v>
      </c>
      <c r="E1538" s="33">
        <f>(C1538*1.16814159292)+(-1)</f>
        <v>24.932743362824002</v>
      </c>
      <c r="F1538" s="33">
        <f>(C1538*1.1238938053)+(-4.4)</f>
        <v>20.550442477659999</v>
      </c>
      <c r="G1538" s="33">
        <f>(C1538*1.06194690265)+(-5.9)</f>
        <v>17.675221238829998</v>
      </c>
      <c r="H1538" s="34">
        <f>(C1538*1.19469026548)+(0)</f>
        <v>26.522123893655998</v>
      </c>
      <c r="I1538" s="34">
        <f>(C1538*1.16814159292)+(-2)</f>
        <v>23.932743362824002</v>
      </c>
      <c r="J1538" s="34">
        <f>(C1538*1.1238938053)+(-3.9)</f>
        <v>21.050442477660003</v>
      </c>
      <c r="K1538" s="34">
        <f>(C1538*1.07964601769)+(-5.6)</f>
        <v>18.368141592717997</v>
      </c>
    </row>
    <row r="1539" spans="1:11" ht="19.95" customHeight="1" x14ac:dyDescent="0.25">
      <c r="A1539" s="13" t="str">
        <f>"69190"</f>
        <v>69190</v>
      </c>
      <c r="B1539" s="14" t="s">
        <v>1882</v>
      </c>
      <c r="C1539" s="13" t="str">
        <f>"13.0"</f>
        <v>13.0</v>
      </c>
      <c r="D1539" s="32">
        <f>(C1539*1.24778761061)+(0.4)</f>
        <v>16.621238937929999</v>
      </c>
      <c r="E1539" s="33">
        <f>(C1539*1.16814159292)+(-1)</f>
        <v>14.185840707960001</v>
      </c>
      <c r="F1539" s="33">
        <f>(C1539*1.1238938053)+(-4.4)</f>
        <v>10.210619468900001</v>
      </c>
      <c r="G1539" s="33">
        <f>(C1539*1.06194690265)+(-5.9)</f>
        <v>7.9053097344499985</v>
      </c>
      <c r="H1539" s="34">
        <f>(C1539*1.19469026548)+(0)</f>
        <v>15.53097345124</v>
      </c>
      <c r="I1539" s="34">
        <f>(C1539*1.16814159292)+(-2)</f>
        <v>13.185840707960001</v>
      </c>
      <c r="J1539" s="34">
        <f>(C1539*1.1238938053)+(-3.9)</f>
        <v>10.710619468900001</v>
      </c>
      <c r="K1539" s="34">
        <f>(C1539*1.07964601769)+(-5.6)</f>
        <v>8.4353982299699997</v>
      </c>
    </row>
    <row r="1540" spans="1:11" ht="19.95" customHeight="1" x14ac:dyDescent="0.25">
      <c r="A1540" s="13" t="str">
        <f>"70245"</f>
        <v>70245</v>
      </c>
      <c r="B1540" s="14" t="s">
        <v>1883</v>
      </c>
      <c r="C1540" s="13" t="str">
        <f>"21.4"</f>
        <v>21.4</v>
      </c>
      <c r="D1540" s="32">
        <f>(C1540*1.24778761061)+(0.4)</f>
        <v>27.102654867054</v>
      </c>
      <c r="E1540" s="33">
        <f>(C1540*1.16814159292)+(-1)</f>
        <v>23.998230088488</v>
      </c>
      <c r="F1540" s="33">
        <f>(C1540*1.1238938053)+(-4.4)</f>
        <v>19.651327433420001</v>
      </c>
      <c r="G1540" s="33">
        <f>(C1540*1.06194690265)+(-5.9)</f>
        <v>16.825663716709997</v>
      </c>
      <c r="H1540" s="34">
        <f>(C1540*1.19469026548)+(0)</f>
        <v>25.566371681271999</v>
      </c>
      <c r="I1540" s="34">
        <f>(C1540*1.16814159292)+(-2)</f>
        <v>22.998230088488</v>
      </c>
      <c r="J1540" s="34">
        <f>(C1540*1.1238938053)+(-3.9)</f>
        <v>20.151327433420001</v>
      </c>
      <c r="K1540" s="34">
        <f>(C1540*1.07964601769)+(-5.6)</f>
        <v>17.504424778565998</v>
      </c>
    </row>
    <row r="1541" spans="1:11" ht="19.95" customHeight="1" x14ac:dyDescent="0.25">
      <c r="A1541" s="13" t="str">
        <f>"47019"</f>
        <v>47019</v>
      </c>
      <c r="B1541" s="14" t="s">
        <v>1884</v>
      </c>
      <c r="C1541" s="13" t="str">
        <f>"9.9"</f>
        <v>9.9</v>
      </c>
      <c r="D1541" s="32">
        <f>(C1541*1.24778761061)+(0.4)</f>
        <v>12.753097345039002</v>
      </c>
      <c r="E1541" s="33">
        <f>(C1541*1.16814159292)+(-1)</f>
        <v>10.564601769908002</v>
      </c>
      <c r="F1541" s="33">
        <f>(C1541*1.1238938053)+(-4.4)</f>
        <v>6.7265486724700008</v>
      </c>
      <c r="G1541" s="33">
        <f>(C1541*1.06194690265)+(-5.9)</f>
        <v>4.6132743362349995</v>
      </c>
      <c r="H1541" s="34">
        <f>(C1541*1.19469026548)+(0)</f>
        <v>11.827433628252001</v>
      </c>
      <c r="I1541" s="34">
        <f>(C1541*1.16814159292)+(-2)</f>
        <v>9.5646017699080019</v>
      </c>
      <c r="J1541" s="34">
        <f>(C1541*1.1238938053)+(-3.9)</f>
        <v>7.2265486724700008</v>
      </c>
      <c r="K1541" s="34">
        <f>(C1541*1.07964601769)+(-5.6)</f>
        <v>5.0884955751310006</v>
      </c>
    </row>
    <row r="1542" spans="1:11" ht="19.95" customHeight="1" x14ac:dyDescent="0.25">
      <c r="A1542" s="13" t="str">
        <f>"54297"</f>
        <v>54297</v>
      </c>
      <c r="B1542" s="14" t="s">
        <v>1885</v>
      </c>
      <c r="C1542" s="13" t="str">
        <f>"12.1"</f>
        <v>12.1</v>
      </c>
      <c r="D1542" s="32">
        <f>(C1542*1.24778761061)+(0.4)</f>
        <v>15.498230088381002</v>
      </c>
      <c r="E1542" s="33">
        <f>(C1542*1.16814159292)+(-1)</f>
        <v>13.134513274332001</v>
      </c>
      <c r="F1542" s="33">
        <f>(C1542*1.1238938053)+(-4.4)</f>
        <v>9.19911504413</v>
      </c>
      <c r="G1542" s="33">
        <f>(C1542*1.06194690265)+(-5.9)</f>
        <v>6.9495575220649979</v>
      </c>
      <c r="H1542" s="34">
        <f>(C1542*1.19469026548)+(0)</f>
        <v>14.455752212307999</v>
      </c>
      <c r="I1542" s="34">
        <f>(C1542*1.16814159292)+(-2)</f>
        <v>12.134513274332001</v>
      </c>
      <c r="J1542" s="34">
        <f>(C1542*1.1238938053)+(-3.9)</f>
        <v>9.69911504413</v>
      </c>
      <c r="K1542" s="34">
        <f>(C1542*1.07964601769)+(-5.6)</f>
        <v>7.4637168140490004</v>
      </c>
    </row>
    <row r="1543" spans="1:11" ht="19.95" customHeight="1" x14ac:dyDescent="0.25">
      <c r="A1543" s="13" t="str">
        <f>"17192"</f>
        <v>17192</v>
      </c>
      <c r="B1543" s="14" t="s">
        <v>1886</v>
      </c>
      <c r="C1543" s="13" t="str">
        <f>"8.6"</f>
        <v>8.6</v>
      </c>
      <c r="D1543" s="32">
        <f>(C1543*1.24778761061)+(0.4)</f>
        <v>11.130973451246001</v>
      </c>
      <c r="E1543" s="33">
        <f>(C1543*1.16814159292)+(-1)</f>
        <v>9.0460176991120012</v>
      </c>
      <c r="F1543" s="33">
        <f>(C1543*1.1238938053)+(-4.4)</f>
        <v>5.2654867255799989</v>
      </c>
      <c r="G1543" s="33">
        <f>(C1543*1.06194690265)+(-5.9)</f>
        <v>3.2327433627899982</v>
      </c>
      <c r="H1543" s="34">
        <f>(C1543*1.19469026548)+(0)</f>
        <v>10.274336283127999</v>
      </c>
      <c r="I1543" s="34">
        <f>(C1543*1.16814159292)+(-2)</f>
        <v>8.0460176991120012</v>
      </c>
      <c r="J1543" s="34">
        <f>(C1543*1.1238938053)+(-3.9)</f>
        <v>5.7654867255799989</v>
      </c>
      <c r="K1543" s="34">
        <f>(C1543*1.07964601769)+(-5.6)</f>
        <v>3.684955752134</v>
      </c>
    </row>
    <row r="1544" spans="1:11" ht="19.95" customHeight="1" x14ac:dyDescent="0.25">
      <c r="A1544" s="13" t="str">
        <f>"1001039"</f>
        <v>1001039</v>
      </c>
      <c r="B1544" s="14" t="s">
        <v>1887</v>
      </c>
      <c r="C1544" s="13" t="str">
        <f>"30.5"</f>
        <v>30.5</v>
      </c>
      <c r="D1544" s="32">
        <f>(C1544*1.24778761061)+(0.4)</f>
        <v>38.457522123605003</v>
      </c>
      <c r="E1544" s="33">
        <f>(C1544*1.16814159292)+(-1)</f>
        <v>34.628318584060004</v>
      </c>
      <c r="F1544" s="33">
        <f>(C1544*1.1238938053)+(-4.4)</f>
        <v>29.878761061650003</v>
      </c>
      <c r="G1544" s="33">
        <f>(C1544*1.06194690265)+(-5.9)</f>
        <v>26.489380530824995</v>
      </c>
      <c r="H1544" s="34">
        <f>(C1544*1.19469026548)+(0)</f>
        <v>36.438053097139999</v>
      </c>
      <c r="I1544" s="34">
        <f>(C1544*1.16814159292)+(-2)</f>
        <v>33.628318584060004</v>
      </c>
      <c r="J1544" s="34">
        <f>(C1544*1.1238938053)+(-3.9)</f>
        <v>30.378761061650003</v>
      </c>
      <c r="K1544" s="34">
        <f>(C1544*1.07964601769)+(-5.6)</f>
        <v>27.329203539544999</v>
      </c>
    </row>
    <row r="1545" spans="1:11" ht="19.95" customHeight="1" x14ac:dyDescent="0.25">
      <c r="A1545" s="13" t="str">
        <f>"17193"</f>
        <v>17193</v>
      </c>
      <c r="B1545" s="14" t="s">
        <v>1888</v>
      </c>
      <c r="C1545" s="13" t="str">
        <f>"19.6"</f>
        <v>19.6</v>
      </c>
      <c r="D1545" s="32">
        <f>(C1545*1.24778761061)+(0.4)</f>
        <v>24.856637167956002</v>
      </c>
      <c r="E1545" s="33">
        <f>(C1545*1.16814159292)+(-1)</f>
        <v>21.895575221232004</v>
      </c>
      <c r="F1545" s="33">
        <f>(C1545*1.1238938053)+(-4.4)</f>
        <v>17.628318583880002</v>
      </c>
      <c r="G1545" s="33">
        <f>(C1545*1.06194690265)+(-5.9)</f>
        <v>14.914159291940001</v>
      </c>
      <c r="H1545" s="34">
        <f>(C1545*1.19469026548)+(0)</f>
        <v>23.415929203408002</v>
      </c>
      <c r="I1545" s="34">
        <f>(C1545*1.16814159292)+(-2)</f>
        <v>20.895575221232004</v>
      </c>
      <c r="J1545" s="34">
        <f>(C1545*1.1238938053)+(-3.9)</f>
        <v>18.128318583880002</v>
      </c>
      <c r="K1545" s="34">
        <f>(C1545*1.07964601769)+(-5.6)</f>
        <v>15.561061946724001</v>
      </c>
    </row>
    <row r="1546" spans="1:11" ht="19.95" customHeight="1" x14ac:dyDescent="0.25">
      <c r="A1546" s="13" t="str">
        <f>"17194"</f>
        <v>17194</v>
      </c>
      <c r="B1546" s="14" t="s">
        <v>1889</v>
      </c>
      <c r="C1546" s="13" t="str">
        <f>"27.5"</f>
        <v>27.5</v>
      </c>
      <c r="D1546" s="32">
        <f>(C1546*1.24778761061)+(0.4)</f>
        <v>34.714159291775005</v>
      </c>
      <c r="E1546" s="33">
        <f>(C1546*1.16814159292)+(-1)</f>
        <v>31.1238938053</v>
      </c>
      <c r="F1546" s="33">
        <f>(C1546*1.1238938053)+(-4.4)</f>
        <v>26.507079645750004</v>
      </c>
      <c r="G1546" s="33">
        <f>(C1546*1.06194690265)+(-5.9)</f>
        <v>23.303539822874995</v>
      </c>
      <c r="H1546" s="34">
        <f>(C1546*1.19469026548)+(0)</f>
        <v>32.853982300700004</v>
      </c>
      <c r="I1546" s="34">
        <f>(C1546*1.16814159292)+(-2)</f>
        <v>30.1238938053</v>
      </c>
      <c r="J1546" s="34">
        <f>(C1546*1.1238938053)+(-3.9)</f>
        <v>27.007079645750004</v>
      </c>
      <c r="K1546" s="34">
        <f>(C1546*1.07964601769)+(-5.6)</f>
        <v>24.090265486474998</v>
      </c>
    </row>
    <row r="1547" spans="1:11" ht="19.95" customHeight="1" x14ac:dyDescent="0.25">
      <c r="A1547" s="13" t="str">
        <f>"17196"</f>
        <v>17196</v>
      </c>
      <c r="B1547" s="14" t="s">
        <v>1890</v>
      </c>
      <c r="C1547" s="13" t="str">
        <f>"21.1"</f>
        <v>21.1</v>
      </c>
      <c r="D1547" s="32">
        <f>(C1547*1.24778761061)+(0.4)</f>
        <v>26.728318583871001</v>
      </c>
      <c r="E1547" s="33">
        <f>(C1547*1.16814159292)+(-1)</f>
        <v>23.647787610612003</v>
      </c>
      <c r="F1547" s="33">
        <f>(C1547*1.1238938053)+(-4.4)</f>
        <v>19.314159291830002</v>
      </c>
      <c r="G1547" s="33">
        <f>(C1547*1.06194690265)+(-5.9)</f>
        <v>16.507079645914999</v>
      </c>
      <c r="H1547" s="34">
        <f>(C1547*1.19469026548)+(0)</f>
        <v>25.207964601628003</v>
      </c>
      <c r="I1547" s="34">
        <f>(C1547*1.16814159292)+(-2)</f>
        <v>22.647787610612003</v>
      </c>
      <c r="J1547" s="34">
        <f>(C1547*1.1238938053)+(-3.9)</f>
        <v>19.814159291830006</v>
      </c>
      <c r="K1547" s="34">
        <f>(C1547*1.07964601769)+(-5.6)</f>
        <v>17.180530973259003</v>
      </c>
    </row>
    <row r="1548" spans="1:11" ht="19.95" customHeight="1" x14ac:dyDescent="0.25">
      <c r="A1548" s="13" t="str">
        <f>"30615"</f>
        <v>30615</v>
      </c>
      <c r="B1548" s="14" t="s">
        <v>1891</v>
      </c>
      <c r="C1548" s="13" t="str">
        <f>"18.9"</f>
        <v>18.9</v>
      </c>
      <c r="D1548" s="32">
        <f>(C1548*1.24778761061)+(0.4)</f>
        <v>23.983185840529</v>
      </c>
      <c r="E1548" s="33">
        <f>(C1548*1.16814159292)+(-1)</f>
        <v>21.077876106188</v>
      </c>
      <c r="F1548" s="33">
        <f>(C1548*1.1238938053)+(-4.4)</f>
        <v>16.841592920170001</v>
      </c>
      <c r="G1548" s="33">
        <f>(C1548*1.06194690265)+(-5.9)</f>
        <v>14.170796460084995</v>
      </c>
      <c r="H1548" s="34">
        <f>(C1548*1.19469026548)+(0)</f>
        <v>22.579646017571999</v>
      </c>
      <c r="I1548" s="34">
        <f>(C1548*1.16814159292)+(-2)</f>
        <v>20.077876106188</v>
      </c>
      <c r="J1548" s="34">
        <f>(C1548*1.1238938053)+(-3.9)</f>
        <v>17.341592920170001</v>
      </c>
      <c r="K1548" s="34">
        <f>(C1548*1.07964601769)+(-5.6)</f>
        <v>14.805309734341</v>
      </c>
    </row>
    <row r="1549" spans="1:11" ht="19.95" customHeight="1" x14ac:dyDescent="0.25">
      <c r="A1549" s="13" t="str">
        <f>"63036"</f>
        <v>63036</v>
      </c>
      <c r="B1549" s="14" t="s">
        <v>1892</v>
      </c>
      <c r="C1549" s="13" t="str">
        <f>"9.0"</f>
        <v>9.0</v>
      </c>
      <c r="D1549" s="32">
        <f>(C1549*1.24778761061)+(0.4)</f>
        <v>11.630088495490002</v>
      </c>
      <c r="E1549" s="33">
        <f>(C1549*1.16814159292)+(-1)</f>
        <v>9.5132743362800003</v>
      </c>
      <c r="F1549" s="33">
        <f>(C1549*1.1238938053)+(-4.4)</f>
        <v>5.7150442476999999</v>
      </c>
      <c r="G1549" s="33">
        <f>(C1549*1.06194690265)+(-5.9)</f>
        <v>3.6575221238499989</v>
      </c>
      <c r="H1549" s="34">
        <f>(C1549*1.19469026548)+(0)</f>
        <v>10.75221238932</v>
      </c>
      <c r="I1549" s="34">
        <f>(C1549*1.16814159292)+(-2)</f>
        <v>8.5132743362800003</v>
      </c>
      <c r="J1549" s="34">
        <f>(C1549*1.1238938053)+(-3.9)</f>
        <v>6.2150442476999999</v>
      </c>
      <c r="K1549" s="34">
        <f>(C1549*1.07964601769)+(-5.6)</f>
        <v>4.1168141592099996</v>
      </c>
    </row>
    <row r="1550" spans="1:11" ht="19.95" customHeight="1" x14ac:dyDescent="0.25">
      <c r="A1550" s="13" t="str">
        <f>"1010732"</f>
        <v>1010732</v>
      </c>
      <c r="B1550" s="14" t="s">
        <v>1893</v>
      </c>
      <c r="C1550" s="13" t="str">
        <f>"19.9"</f>
        <v>19.9</v>
      </c>
      <c r="D1550" s="32">
        <f>(C1550*1.24778761061)+(0.4)</f>
        <v>25.230973451139</v>
      </c>
      <c r="E1550" s="33">
        <f>(C1550*1.16814159292)+(-1)</f>
        <v>22.246017699107998</v>
      </c>
      <c r="F1550" s="33">
        <f>(C1550*1.1238938053)+(-4.4)</f>
        <v>17.965486725470001</v>
      </c>
      <c r="G1550" s="33">
        <f>(C1550*1.06194690265)+(-5.9)</f>
        <v>15.232743362734995</v>
      </c>
      <c r="H1550" s="34">
        <f>(C1550*1.19469026548)+(0)</f>
        <v>23.774336283051998</v>
      </c>
      <c r="I1550" s="34">
        <f>(C1550*1.16814159292)+(-2)</f>
        <v>21.246017699107998</v>
      </c>
      <c r="J1550" s="34">
        <f>(C1550*1.1238938053)+(-3.9)</f>
        <v>18.465486725470001</v>
      </c>
      <c r="K1550" s="34">
        <f>(C1550*1.07964601769)+(-5.6)</f>
        <v>15.884955752030999</v>
      </c>
    </row>
    <row r="1551" spans="1:11" ht="19.95" customHeight="1" x14ac:dyDescent="0.25">
      <c r="A1551" s="13" t="str">
        <f>"81148"</f>
        <v>81148</v>
      </c>
      <c r="B1551" s="14" t="s">
        <v>1894</v>
      </c>
      <c r="C1551" s="13" t="str">
        <f>"18.5"</f>
        <v>18.5</v>
      </c>
      <c r="D1551" s="32">
        <f>(C1551*1.24778761061)+(0.4)</f>
        <v>23.484070796285</v>
      </c>
      <c r="E1551" s="33">
        <f>(C1551*1.16814159292)+(-1)</f>
        <v>20.610619469020001</v>
      </c>
      <c r="F1551" s="33">
        <f>(C1551*1.1238938053)+(-4.4)</f>
        <v>16.392035398049998</v>
      </c>
      <c r="G1551" s="33">
        <f>(C1551*1.06194690265)+(-5.9)</f>
        <v>13.746017699024998</v>
      </c>
      <c r="H1551" s="34">
        <f>(C1551*1.19469026548)+(0)</f>
        <v>22.10176991138</v>
      </c>
      <c r="I1551" s="34">
        <f>(C1551*1.16814159292)+(-2)</f>
        <v>19.610619469020001</v>
      </c>
      <c r="J1551" s="34">
        <f>(C1551*1.1238938053)+(-3.9)</f>
        <v>16.892035398050002</v>
      </c>
      <c r="K1551" s="34">
        <f>(C1551*1.07964601769)+(-5.6)</f>
        <v>14.373451327265</v>
      </c>
    </row>
    <row r="1552" spans="1:11" ht="19.95" customHeight="1" x14ac:dyDescent="0.25">
      <c r="A1552" s="13" t="str">
        <f>"42798"</f>
        <v>42798</v>
      </c>
      <c r="B1552" s="14" t="s">
        <v>1895</v>
      </c>
      <c r="C1552" s="13" t="str">
        <f>"30.8"</f>
        <v>30.8</v>
      </c>
      <c r="D1552" s="32">
        <f>(C1552*1.24778761061)+(0.4)</f>
        <v>38.831858406788001</v>
      </c>
      <c r="E1552" s="33">
        <f>(C1552*1.16814159292)+(-1)</f>
        <v>34.978761061936005</v>
      </c>
      <c r="F1552" s="33">
        <f>(C1552*1.1238938053)+(-4.4)</f>
        <v>30.215929203240002</v>
      </c>
      <c r="G1552" s="33">
        <f>(C1552*1.06194690265)+(-5.9)</f>
        <v>26.80796460162</v>
      </c>
      <c r="H1552" s="34">
        <f>(C1552*1.19469026548)+(0)</f>
        <v>36.796460176784002</v>
      </c>
      <c r="I1552" s="34">
        <f>(C1552*1.16814159292)+(-2)</f>
        <v>33.978761061936005</v>
      </c>
      <c r="J1552" s="34">
        <f>(C1552*1.1238938053)+(-3.9)</f>
        <v>30.715929203240002</v>
      </c>
      <c r="K1552" s="34">
        <f>(C1552*1.07964601769)+(-5.6)</f>
        <v>27.653097344852</v>
      </c>
    </row>
    <row r="1553" spans="1:11" ht="19.95" customHeight="1" x14ac:dyDescent="0.25">
      <c r="A1553" s="13" t="str">
        <f>"17202"</f>
        <v>17202</v>
      </c>
      <c r="B1553" s="14" t="s">
        <v>1896</v>
      </c>
      <c r="C1553" s="13" t="str">
        <f>"22.2"</f>
        <v>22.2</v>
      </c>
      <c r="D1553" s="32">
        <f>(C1553*1.24778761061)+(0.4)</f>
        <v>28.100884955542</v>
      </c>
      <c r="E1553" s="33">
        <f>(C1553*1.16814159292)+(-1)</f>
        <v>24.932743362824002</v>
      </c>
      <c r="F1553" s="33">
        <f>(C1553*1.1238938053)+(-4.4)</f>
        <v>20.550442477659999</v>
      </c>
      <c r="G1553" s="33">
        <f>(C1553*1.06194690265)+(-5.9)</f>
        <v>17.675221238829998</v>
      </c>
      <c r="H1553" s="34">
        <f>(C1553*1.19469026548)+(0)</f>
        <v>26.522123893655998</v>
      </c>
      <c r="I1553" s="34">
        <f>(C1553*1.16814159292)+(-2)</f>
        <v>23.932743362824002</v>
      </c>
      <c r="J1553" s="34">
        <f>(C1553*1.1238938053)+(-3.9)</f>
        <v>21.050442477660003</v>
      </c>
      <c r="K1553" s="34">
        <f>(C1553*1.07964601769)+(-5.6)</f>
        <v>18.368141592717997</v>
      </c>
    </row>
    <row r="1554" spans="1:11" ht="19.95" customHeight="1" x14ac:dyDescent="0.25">
      <c r="A1554" s="13" t="str">
        <f>"17203"</f>
        <v>17203</v>
      </c>
      <c r="B1554" s="14" t="s">
        <v>1897</v>
      </c>
      <c r="C1554" s="13" t="str">
        <f>"10.0"</f>
        <v>10.0</v>
      </c>
      <c r="D1554" s="32">
        <f>(C1554*1.24778761061)+(0.4)</f>
        <v>12.877876106100002</v>
      </c>
      <c r="E1554" s="33">
        <f>(C1554*1.16814159292)+(-1)</f>
        <v>10.6814159292</v>
      </c>
      <c r="F1554" s="33">
        <f>(C1554*1.1238938053)+(-4.4)</f>
        <v>6.8389380529999997</v>
      </c>
      <c r="G1554" s="33">
        <f>(C1554*1.06194690265)+(-5.9)</f>
        <v>4.7194690264999988</v>
      </c>
      <c r="H1554" s="34">
        <f>(C1554*1.19469026548)+(0)</f>
        <v>11.946902654800001</v>
      </c>
      <c r="I1554" s="34">
        <f>(C1554*1.16814159292)+(-2)</f>
        <v>9.6814159291999999</v>
      </c>
      <c r="J1554" s="34">
        <f>(C1554*1.1238938053)+(-3.9)</f>
        <v>7.3389380529999997</v>
      </c>
      <c r="K1554" s="34">
        <f>(C1554*1.07964601769)+(-5.6)</f>
        <v>5.1964601769000005</v>
      </c>
    </row>
    <row r="1555" spans="1:11" ht="19.95" customHeight="1" x14ac:dyDescent="0.25">
      <c r="A1555" s="13" t="str">
        <f>"17204"</f>
        <v>17204</v>
      </c>
      <c r="B1555" s="14" t="s">
        <v>1898</v>
      </c>
      <c r="C1555" s="13" t="str">
        <f>"21.0"</f>
        <v>21.0</v>
      </c>
      <c r="D1555" s="32">
        <f>(C1555*1.24778761061)+(0.4)</f>
        <v>26.603539822809999</v>
      </c>
      <c r="E1555" s="33">
        <f>(C1555*1.16814159292)+(-1)</f>
        <v>23.530973451320001</v>
      </c>
      <c r="F1555" s="33">
        <f>(C1555*1.1238938053)+(-4.4)</f>
        <v>19.201769911299998</v>
      </c>
      <c r="G1555" s="33">
        <f>(C1555*1.06194690265)+(-5.9)</f>
        <v>16.40088495565</v>
      </c>
      <c r="H1555" s="34">
        <f>(C1555*1.19469026548)+(0)</f>
        <v>25.08849557508</v>
      </c>
      <c r="I1555" s="34">
        <f>(C1555*1.16814159292)+(-2)</f>
        <v>22.530973451320001</v>
      </c>
      <c r="J1555" s="34">
        <f>(C1555*1.1238938053)+(-3.9)</f>
        <v>19.701769911300001</v>
      </c>
      <c r="K1555" s="34">
        <f>(C1555*1.07964601769)+(-5.6)</f>
        <v>17.072566371489998</v>
      </c>
    </row>
    <row r="1556" spans="1:11" ht="19.95" customHeight="1" x14ac:dyDescent="0.25">
      <c r="A1556" s="13" t="str">
        <f>"67026"</f>
        <v>67026</v>
      </c>
      <c r="B1556" s="14" t="s">
        <v>1899</v>
      </c>
      <c r="C1556" s="13" t="str">
        <f>"12.1"</f>
        <v>12.1</v>
      </c>
      <c r="D1556" s="32">
        <f>(C1556*1.24778761061)+(0.4)</f>
        <v>15.498230088381002</v>
      </c>
      <c r="E1556" s="33">
        <f>(C1556*1.16814159292)+(-1)</f>
        <v>13.134513274332001</v>
      </c>
      <c r="F1556" s="33">
        <f>(C1556*1.1238938053)+(-4.4)</f>
        <v>9.19911504413</v>
      </c>
      <c r="G1556" s="33">
        <f>(C1556*1.06194690265)+(-5.9)</f>
        <v>6.9495575220649979</v>
      </c>
      <c r="H1556" s="34">
        <f>(C1556*1.19469026548)+(0)</f>
        <v>14.455752212307999</v>
      </c>
      <c r="I1556" s="34">
        <f>(C1556*1.16814159292)+(-2)</f>
        <v>12.134513274332001</v>
      </c>
      <c r="J1556" s="34">
        <f>(C1556*1.1238938053)+(-3.9)</f>
        <v>9.69911504413</v>
      </c>
      <c r="K1556" s="34">
        <f>(C1556*1.07964601769)+(-5.6)</f>
        <v>7.4637168140490004</v>
      </c>
    </row>
    <row r="1557" spans="1:11" ht="19.95" customHeight="1" x14ac:dyDescent="0.25">
      <c r="A1557" s="13" t="str">
        <f>"75553"</f>
        <v>75553</v>
      </c>
      <c r="B1557" s="14" t="s">
        <v>1900</v>
      </c>
      <c r="C1557" s="13" t="str">
        <f>"26.7"</f>
        <v>26.7</v>
      </c>
      <c r="D1557" s="32">
        <f>(C1557*1.24778761061)+(0.4)</f>
        <v>33.715929203286997</v>
      </c>
      <c r="E1557" s="33">
        <f>(C1557*1.16814159292)+(-1)</f>
        <v>30.189380530964002</v>
      </c>
      <c r="F1557" s="33">
        <f>(C1557*1.1238938053)+(-4.4)</f>
        <v>25.607964601509998</v>
      </c>
      <c r="G1557" s="33">
        <f>(C1557*1.06194690265)+(-5.9)</f>
        <v>22.453982300754994</v>
      </c>
      <c r="H1557" s="34">
        <f>(C1557*1.19469026548)+(0)</f>
        <v>31.898230088315998</v>
      </c>
      <c r="I1557" s="34">
        <f>(C1557*1.16814159292)+(-2)</f>
        <v>29.189380530964002</v>
      </c>
      <c r="J1557" s="34">
        <f>(C1557*1.1238938053)+(-3.9)</f>
        <v>26.107964601510002</v>
      </c>
      <c r="K1557" s="34">
        <f>(C1557*1.07964601769)+(-5.6)</f>
        <v>23.226548672322998</v>
      </c>
    </row>
    <row r="1558" spans="1:11" ht="19.95" customHeight="1" x14ac:dyDescent="0.25">
      <c r="A1558" s="13" t="str">
        <f>"17206"</f>
        <v>17206</v>
      </c>
      <c r="B1558" s="14" t="s">
        <v>1901</v>
      </c>
      <c r="C1558" s="13" t="str">
        <f>"21.3"</f>
        <v>21.3</v>
      </c>
      <c r="D1558" s="32">
        <f>(C1558*1.24778761061)+(0.4)</f>
        <v>26.977876105993001</v>
      </c>
      <c r="E1558" s="33">
        <f>(C1558*1.16814159292)+(-1)</f>
        <v>23.881415929196002</v>
      </c>
      <c r="F1558" s="33">
        <f>(C1558*1.1238938053)+(-4.4)</f>
        <v>19.538938052890003</v>
      </c>
      <c r="G1558" s="33">
        <f>(C1558*1.06194690265)+(-5.9)</f>
        <v>16.719469026444997</v>
      </c>
      <c r="H1558" s="34">
        <f>(C1558*1.19469026548)+(0)</f>
        <v>25.446902654724003</v>
      </c>
      <c r="I1558" s="34">
        <f>(C1558*1.16814159292)+(-2)</f>
        <v>22.881415929196002</v>
      </c>
      <c r="J1558" s="34">
        <f>(C1558*1.1238938053)+(-3.9)</f>
        <v>20.038938052890003</v>
      </c>
      <c r="K1558" s="34">
        <f>(C1558*1.07964601769)+(-5.6)</f>
        <v>17.396460176797</v>
      </c>
    </row>
    <row r="1559" spans="1:11" ht="19.95" customHeight="1" x14ac:dyDescent="0.25">
      <c r="A1559" s="13" t="str">
        <f>"31520"</f>
        <v>31520</v>
      </c>
      <c r="B1559" s="14" t="s">
        <v>1902</v>
      </c>
      <c r="C1559" s="13" t="str">
        <f>"11.4"</f>
        <v>11.4</v>
      </c>
      <c r="D1559" s="32">
        <f>(C1559*1.24778761061)+(0.4)</f>
        <v>14.624778760954001</v>
      </c>
      <c r="E1559" s="33">
        <f>(C1559*1.16814159292)+(-1)</f>
        <v>12.316814159288</v>
      </c>
      <c r="F1559" s="33">
        <f>(C1559*1.1238938053)+(-4.4)</f>
        <v>8.4123893804200005</v>
      </c>
      <c r="G1559" s="33">
        <f>(C1559*1.06194690265)+(-5.9)</f>
        <v>6.2061946902099994</v>
      </c>
      <c r="H1559" s="34">
        <f>(C1559*1.19469026548)+(0)</f>
        <v>13.619469026472</v>
      </c>
      <c r="I1559" s="34">
        <f>(C1559*1.16814159292)+(-2)</f>
        <v>11.316814159288</v>
      </c>
      <c r="J1559" s="34">
        <f>(C1559*1.1238938053)+(-3.9)</f>
        <v>8.9123893804200005</v>
      </c>
      <c r="K1559" s="34">
        <f>(C1559*1.07964601769)+(-5.6)</f>
        <v>6.7079646016660011</v>
      </c>
    </row>
    <row r="1560" spans="1:11" ht="19.95" customHeight="1" x14ac:dyDescent="0.25">
      <c r="A1560" s="13" t="str">
        <f>"1004983"</f>
        <v>1004983</v>
      </c>
      <c r="B1560" s="14" t="s">
        <v>1903</v>
      </c>
      <c r="C1560" s="13" t="str">
        <f>"5.4"</f>
        <v>5.4</v>
      </c>
      <c r="D1560" s="32">
        <f>(C1560*1.24778761061)+(0.4)</f>
        <v>7.1380530972940015</v>
      </c>
      <c r="E1560" s="33">
        <f>(C1560*1.16814159292)+(-1)</f>
        <v>5.3079646017680009</v>
      </c>
      <c r="F1560" s="33">
        <f>(C1560*1.1238938053)+(-4.4)</f>
        <v>1.6690265486200007</v>
      </c>
      <c r="G1560" s="33">
        <f>(C1560*1.06194690265)+(-5.9)</f>
        <v>-0.16548672569000011</v>
      </c>
      <c r="H1560" s="34">
        <f>(C1560*1.19469026548)+(0)</f>
        <v>6.4513274335920006</v>
      </c>
      <c r="I1560" s="34">
        <f>(C1560*1.16814159292)+(-2)</f>
        <v>4.3079646017680009</v>
      </c>
      <c r="J1560" s="34">
        <f>(C1560*1.1238938053)+(-3.9)</f>
        <v>2.1690265486200011</v>
      </c>
      <c r="K1560" s="34">
        <f>(C1560*1.07964601769)+(-5.6)</f>
        <v>0.23008849552600097</v>
      </c>
    </row>
    <row r="1561" spans="1:11" ht="19.95" customHeight="1" x14ac:dyDescent="0.25">
      <c r="A1561" s="13" t="str">
        <f>"36712"</f>
        <v>36712</v>
      </c>
      <c r="B1561" s="14" t="s">
        <v>1904</v>
      </c>
      <c r="C1561" s="13" t="str">
        <f>"29.4"</f>
        <v>29.4</v>
      </c>
      <c r="D1561" s="32">
        <f>(C1561*1.24778761061)+(0.4)</f>
        <v>37.084955751933997</v>
      </c>
      <c r="E1561" s="33">
        <f>(C1561*1.16814159292)+(-1)</f>
        <v>33.343362831847998</v>
      </c>
      <c r="F1561" s="33">
        <f>(C1561*1.1238938053)+(-4.4)</f>
        <v>28.642477875819999</v>
      </c>
      <c r="G1561" s="33">
        <f>(C1561*1.06194690265)+(-5.9)</f>
        <v>25.321238937909996</v>
      </c>
      <c r="H1561" s="34">
        <f>(C1561*1.19469026548)+(0)</f>
        <v>35.123893805111997</v>
      </c>
      <c r="I1561" s="34">
        <f>(C1561*1.16814159292)+(-2)</f>
        <v>32.343362831847998</v>
      </c>
      <c r="J1561" s="34">
        <f>(C1561*1.1238938053)+(-3.9)</f>
        <v>29.142477875819999</v>
      </c>
      <c r="K1561" s="34">
        <f>(C1561*1.07964601769)+(-5.6)</f>
        <v>26.141592920085998</v>
      </c>
    </row>
    <row r="1562" spans="1:11" ht="19.95" customHeight="1" x14ac:dyDescent="0.25">
      <c r="A1562" s="13" t="str">
        <f>"7081"</f>
        <v>7081</v>
      </c>
      <c r="B1562" s="14" t="s">
        <v>1905</v>
      </c>
      <c r="C1562" s="13" t="str">
        <f>"12.1"</f>
        <v>12.1</v>
      </c>
      <c r="D1562" s="32">
        <f>(C1562*1.24778761061)+(0.4)</f>
        <v>15.498230088381002</v>
      </c>
      <c r="E1562" s="33">
        <f>(C1562*1.16814159292)+(-1)</f>
        <v>13.134513274332001</v>
      </c>
      <c r="F1562" s="33">
        <f>(C1562*1.1238938053)+(-4.4)</f>
        <v>9.19911504413</v>
      </c>
      <c r="G1562" s="33">
        <f>(C1562*1.06194690265)+(-5.9)</f>
        <v>6.9495575220649979</v>
      </c>
      <c r="H1562" s="34">
        <f>(C1562*1.19469026548)+(0)</f>
        <v>14.455752212307999</v>
      </c>
      <c r="I1562" s="34">
        <f>(C1562*1.16814159292)+(-2)</f>
        <v>12.134513274332001</v>
      </c>
      <c r="J1562" s="34">
        <f>(C1562*1.1238938053)+(-3.9)</f>
        <v>9.69911504413</v>
      </c>
      <c r="K1562" s="34">
        <f>(C1562*1.07964601769)+(-5.6)</f>
        <v>7.4637168140490004</v>
      </c>
    </row>
    <row r="1563" spans="1:11" ht="19.95" customHeight="1" x14ac:dyDescent="0.25">
      <c r="A1563" s="13" t="str">
        <f>"308"</f>
        <v>308</v>
      </c>
      <c r="B1563" s="14" t="s">
        <v>1906</v>
      </c>
      <c r="C1563" s="13" t="str">
        <f>"14.4"</f>
        <v>14.4</v>
      </c>
      <c r="D1563" s="32">
        <f>(C1563*1.24778761061)+(0.4)</f>
        <v>18.368141592783999</v>
      </c>
      <c r="E1563" s="32">
        <f>(C1563*1.16814159292)+(-1)</f>
        <v>15.821238938048001</v>
      </c>
      <c r="F1563" s="32">
        <f>(C1563*1.1238938053)+(-4.4)</f>
        <v>11.78407079632</v>
      </c>
      <c r="G1563" s="32">
        <f>(C1563*1.06194690265)+(-5.9)</f>
        <v>9.3920353981599991</v>
      </c>
      <c r="H1563" s="34">
        <f>(C1563*1.19469026548)+(0)</f>
        <v>17.203539822911999</v>
      </c>
      <c r="I1563" s="34">
        <f>(C1563*1.16814159292)+(-2)</f>
        <v>14.821238938048001</v>
      </c>
      <c r="J1563" s="34">
        <f>(C1563*1.1238938053)+(-3.9)</f>
        <v>12.28407079632</v>
      </c>
      <c r="K1563" s="34">
        <f>(C1563*1.07964601769)+(-5.6)</f>
        <v>9.9469026547360002</v>
      </c>
    </row>
    <row r="1564" spans="1:11" ht="19.95" customHeight="1" x14ac:dyDescent="0.25">
      <c r="A1564" s="13" t="str">
        <f>"50544"</f>
        <v>50544</v>
      </c>
      <c r="B1564" s="14" t="s">
        <v>1907</v>
      </c>
      <c r="C1564" s="13" t="str">
        <f>"7.5"</f>
        <v>7.5</v>
      </c>
      <c r="D1564" s="32">
        <f>(C1564*1.24778761061)+(0.4)</f>
        <v>9.7584070795750009</v>
      </c>
      <c r="E1564" s="32">
        <f>(C1564*1.16814159292)+(-1)</f>
        <v>7.7610619469</v>
      </c>
      <c r="F1564" s="32">
        <f>(C1564*1.1238938053)+(-4.4)</f>
        <v>4.0292035397500001</v>
      </c>
      <c r="G1564" s="32">
        <f>(C1564*1.06194690265)+(-5.9)</f>
        <v>2.064601769874999</v>
      </c>
      <c r="H1564" s="34">
        <f>(C1564*1.19469026548)+(0)</f>
        <v>8.9601769911000009</v>
      </c>
      <c r="I1564" s="34">
        <f>(C1564*1.16814159292)+(-2)</f>
        <v>6.7610619469</v>
      </c>
      <c r="J1564" s="34">
        <f>(C1564*1.1238938053)+(-3.9)</f>
        <v>4.5292035397500001</v>
      </c>
      <c r="K1564" s="34">
        <f>(C1564*1.07964601769)+(-5.6)</f>
        <v>2.4973451326750009</v>
      </c>
    </row>
    <row r="1565" spans="1:11" ht="19.95" customHeight="1" x14ac:dyDescent="0.25">
      <c r="A1565" s="13" t="str">
        <f>"73229"</f>
        <v>73229</v>
      </c>
      <c r="B1565" s="14" t="s">
        <v>1908</v>
      </c>
      <c r="C1565" s="13" t="str">
        <f>"19.2"</f>
        <v>19.2</v>
      </c>
      <c r="D1565" s="32">
        <f>(C1565*1.24778761061)+(0.4)</f>
        <v>24.357522123711998</v>
      </c>
      <c r="E1565" s="32">
        <f>(C1565*1.16814159292)+(-1)</f>
        <v>21.428318584064002</v>
      </c>
      <c r="F1565" s="32">
        <f>(C1565*1.1238938053)+(-4.4)</f>
        <v>17.17876106176</v>
      </c>
      <c r="G1565" s="32">
        <f>(C1565*1.06194690265)+(-5.9)</f>
        <v>14.489380530879997</v>
      </c>
      <c r="H1565" s="34">
        <f>(C1565*1.19469026548)+(0)</f>
        <v>22.938053097215999</v>
      </c>
      <c r="I1565" s="34">
        <f>(C1565*1.16814159292)+(-2)</f>
        <v>20.428318584064002</v>
      </c>
      <c r="J1565" s="34">
        <f>(C1565*1.1238938053)+(-3.9)</f>
        <v>17.678761061760003</v>
      </c>
      <c r="K1565" s="34">
        <f>(C1565*1.07964601769)+(-5.6)</f>
        <v>15.129203539648001</v>
      </c>
    </row>
    <row r="1566" spans="1:11" ht="19.95" customHeight="1" x14ac:dyDescent="0.25">
      <c r="A1566" s="13" t="str">
        <f>"5245"</f>
        <v>5245</v>
      </c>
      <c r="B1566" s="14" t="s">
        <v>1909</v>
      </c>
      <c r="C1566" s="13" t="str">
        <f>"23.3"</f>
        <v>23.3</v>
      </c>
      <c r="D1566" s="32">
        <f>(C1566*1.24778761061)+(0.4)</f>
        <v>29.473451327213002</v>
      </c>
      <c r="E1566" s="32">
        <f>(C1566*1.16814159292)+(-1)</f>
        <v>26.217699115036002</v>
      </c>
      <c r="F1566" s="32">
        <f>(C1566*1.1238938053)+(-4.4)</f>
        <v>21.786725663490003</v>
      </c>
      <c r="G1566" s="32">
        <f>(C1566*1.06194690265)+(-5.9)</f>
        <v>18.843362831744997</v>
      </c>
      <c r="H1566" s="34">
        <f>(C1566*1.19469026548)+(0)</f>
        <v>27.836283185684</v>
      </c>
      <c r="I1566" s="34">
        <f>(C1566*1.16814159292)+(-2)</f>
        <v>25.217699115036002</v>
      </c>
      <c r="J1566" s="34">
        <f>(C1566*1.1238938053)+(-3.9)</f>
        <v>22.286725663490003</v>
      </c>
      <c r="K1566" s="34">
        <f>(C1566*1.07964601769)+(-5.6)</f>
        <v>19.555752212177005</v>
      </c>
    </row>
    <row r="1567" spans="1:11" ht="19.95" customHeight="1" x14ac:dyDescent="0.25">
      <c r="A1567" s="13" t="str">
        <f>"17215"</f>
        <v>17215</v>
      </c>
      <c r="B1567" s="14" t="s">
        <v>1910</v>
      </c>
      <c r="C1567" s="13" t="str">
        <f>"18.1"</f>
        <v>18.1</v>
      </c>
      <c r="D1567" s="32">
        <f>(C1567*1.24778761061)+(0.4)</f>
        <v>22.984955752041003</v>
      </c>
      <c r="E1567" s="32">
        <f>(C1567*1.16814159292)+(-1)</f>
        <v>20.143362831852002</v>
      </c>
      <c r="F1567" s="32">
        <f>(C1567*1.1238938053)+(-4.4)</f>
        <v>15.942477875930001</v>
      </c>
      <c r="G1567" s="32">
        <f>(C1567*1.06194690265)+(-5.9)</f>
        <v>13.321238937965001</v>
      </c>
      <c r="H1567" s="34">
        <f>(C1567*1.19469026548)+(0)</f>
        <v>21.623893805188001</v>
      </c>
      <c r="I1567" s="34">
        <f>(C1567*1.16814159292)+(-2)</f>
        <v>19.143362831852002</v>
      </c>
      <c r="J1567" s="34">
        <f>(C1567*1.1238938053)+(-3.9)</f>
        <v>16.442477875930003</v>
      </c>
      <c r="K1567" s="34">
        <f>(C1567*1.07964601769)+(-5.6)</f>
        <v>13.941592920189001</v>
      </c>
    </row>
    <row r="1568" spans="1:11" ht="19.8" customHeight="1" x14ac:dyDescent="0.25">
      <c r="A1568" s="13" t="str">
        <f>"1007649"</f>
        <v>1007649</v>
      </c>
      <c r="B1568" s="14" t="s">
        <v>1911</v>
      </c>
      <c r="C1568" s="13" t="str">
        <f>"8.6"</f>
        <v>8.6</v>
      </c>
      <c r="D1568" s="32">
        <f>(C1568*1.24778761061)+(0.4)</f>
        <v>11.130973451246001</v>
      </c>
      <c r="E1568" s="32">
        <f>(C1568*1.16814159292)+(-1)</f>
        <v>9.0460176991120012</v>
      </c>
      <c r="F1568" s="32">
        <f>(C1568*1.1238938053)+(-4.4)</f>
        <v>5.2654867255799989</v>
      </c>
      <c r="G1568" s="32">
        <f>(C1568*1.06194690265)+(-5.9)</f>
        <v>3.2327433627899982</v>
      </c>
      <c r="H1568" s="34">
        <f>(C1568*1.19469026548)+(0)</f>
        <v>10.274336283127999</v>
      </c>
      <c r="I1568" s="34">
        <f>(C1568*1.16814159292)+(-2)</f>
        <v>8.0460176991120012</v>
      </c>
      <c r="J1568" s="34">
        <f>(C1568*1.1238938053)+(-3.9)</f>
        <v>5.7654867255799989</v>
      </c>
      <c r="K1568" s="34">
        <f>(C1568*1.07964601769)+(-5.6)</f>
        <v>3.684955752134</v>
      </c>
    </row>
    <row r="1569" spans="1:11" ht="19.8" customHeight="1" x14ac:dyDescent="0.25">
      <c r="A1569" s="13" t="str">
        <f>"1007650"</f>
        <v>1007650</v>
      </c>
      <c r="B1569" s="14" t="s">
        <v>1912</v>
      </c>
      <c r="C1569" s="13" t="str">
        <f>"21.3"</f>
        <v>21.3</v>
      </c>
      <c r="D1569" s="32">
        <f>(C1569*1.24778761061)+(0.4)</f>
        <v>26.977876105993001</v>
      </c>
      <c r="E1569" s="32">
        <f>(C1569*1.16814159292)+(-1)</f>
        <v>23.881415929196002</v>
      </c>
      <c r="F1569" s="32">
        <f>(C1569*1.1238938053)+(-4.4)</f>
        <v>19.538938052890003</v>
      </c>
      <c r="G1569" s="32">
        <f>(C1569*1.06194690265)+(-5.9)</f>
        <v>16.719469026444997</v>
      </c>
      <c r="H1569" s="34">
        <f>(C1569*1.19469026548)+(0)</f>
        <v>25.446902654724003</v>
      </c>
      <c r="I1569" s="34">
        <f>(C1569*1.16814159292)+(-2)</f>
        <v>22.881415929196002</v>
      </c>
      <c r="J1569" s="34">
        <f>(C1569*1.1238938053)+(-3.9)</f>
        <v>20.038938052890003</v>
      </c>
      <c r="K1569" s="34">
        <f>(C1569*1.07964601769)+(-5.6)</f>
        <v>17.396460176797</v>
      </c>
    </row>
    <row r="1570" spans="1:11" ht="19.8" customHeight="1" x14ac:dyDescent="0.25">
      <c r="A1570" s="13" t="str">
        <f>"75799"</f>
        <v>75799</v>
      </c>
      <c r="B1570" s="14" t="s">
        <v>1913</v>
      </c>
      <c r="C1570" s="13" t="str">
        <f>"12.6"</f>
        <v>12.6</v>
      </c>
      <c r="D1570" s="32">
        <f>(C1570*1.24778761061)+(0.4)</f>
        <v>16.122123893686002</v>
      </c>
      <c r="E1570" s="32">
        <f>(C1570*1.16814159292)+(-1)</f>
        <v>13.718584070792001</v>
      </c>
      <c r="F1570" s="32">
        <f>(C1570*1.1238938053)+(-4.4)</f>
        <v>9.7610619467799999</v>
      </c>
      <c r="G1570" s="32">
        <f>(C1570*1.06194690265)+(-5.9)</f>
        <v>7.4805309733899978</v>
      </c>
      <c r="H1570" s="34">
        <f>(C1570*1.19469026548)+(0)</f>
        <v>15.053097345048</v>
      </c>
      <c r="I1570" s="34">
        <f>(C1570*1.16814159292)+(-2)</f>
        <v>12.718584070792001</v>
      </c>
      <c r="J1570" s="34">
        <f>(C1570*1.1238938053)+(-3.9)</f>
        <v>10.26106194678</v>
      </c>
      <c r="K1570" s="34">
        <f>(C1570*1.07964601769)+(-5.6)</f>
        <v>8.003539822894</v>
      </c>
    </row>
    <row r="1571" spans="1:11" ht="19.8" customHeight="1" x14ac:dyDescent="0.25">
      <c r="A1571" s="13" t="str">
        <f>"71630"</f>
        <v>71630</v>
      </c>
      <c r="B1571" s="14" t="s">
        <v>1914</v>
      </c>
      <c r="C1571" s="13" t="str">
        <f>"19.0"</f>
        <v>19.0</v>
      </c>
      <c r="D1571" s="32">
        <f>(C1571*1.24778761061)+(0.4)</f>
        <v>24.107964601590002</v>
      </c>
      <c r="E1571" s="32">
        <f>(C1571*1.16814159292)+(-1)</f>
        <v>21.194690265480002</v>
      </c>
      <c r="F1571" s="32">
        <f>(C1571*1.1238938053)+(-4.4)</f>
        <v>16.953982300699998</v>
      </c>
      <c r="G1571" s="32">
        <f>(C1571*1.06194690265)+(-5.9)</f>
        <v>14.276991150349998</v>
      </c>
      <c r="H1571" s="34">
        <f>(C1571*1.19469026548)+(0)</f>
        <v>22.699115044119999</v>
      </c>
      <c r="I1571" s="34">
        <f>(C1571*1.16814159292)+(-2)</f>
        <v>20.194690265480002</v>
      </c>
      <c r="J1571" s="34">
        <f>(C1571*1.1238938053)+(-3.9)</f>
        <v>17.453982300700002</v>
      </c>
      <c r="K1571" s="34">
        <f>(C1571*1.07964601769)+(-5.6)</f>
        <v>14.913274336110002</v>
      </c>
    </row>
    <row r="1572" spans="1:11" ht="19.8" customHeight="1" x14ac:dyDescent="0.25">
      <c r="A1572" s="13" t="str">
        <f>"1003200"</f>
        <v>1003200</v>
      </c>
      <c r="B1572" s="14" t="s">
        <v>1915</v>
      </c>
      <c r="C1572" s="13" t="str">
        <f>"45.2"</f>
        <v>45.2</v>
      </c>
      <c r="D1572" s="32">
        <f>(C1572*1.24778761061)+(0.4)</f>
        <v>56.799999999572009</v>
      </c>
      <c r="E1572" s="32">
        <f>(C1572*1.16814159292)+(-1)</f>
        <v>51.79999999998401</v>
      </c>
      <c r="F1572" s="32">
        <f>(C1572*1.1238938053)+(-4.4)</f>
        <v>46.399999999560009</v>
      </c>
      <c r="G1572" s="32">
        <f>(C1572*1.06194690265)+(-5.9)</f>
        <v>42.099999999780003</v>
      </c>
      <c r="H1572" s="34">
        <f>(C1572*1.19469026548)+(0)</f>
        <v>53.999999999696001</v>
      </c>
      <c r="I1572" s="34">
        <f>(C1572*1.16814159292)+(-2)</f>
        <v>50.79999999998401</v>
      </c>
      <c r="J1572" s="34">
        <f>(C1572*1.1238938053)+(-3.9)</f>
        <v>46.899999999560009</v>
      </c>
      <c r="K1572" s="34">
        <f>(C1572*1.07964601769)+(-5.6)</f>
        <v>43.199999999588002</v>
      </c>
    </row>
    <row r="1573" spans="1:11" ht="19.8" customHeight="1" x14ac:dyDescent="0.25">
      <c r="A1573" s="13" t="str">
        <f>"17217"</f>
        <v>17217</v>
      </c>
      <c r="B1573" s="14" t="s">
        <v>1916</v>
      </c>
      <c r="C1573" s="13" t="str">
        <f>"10.8"</f>
        <v>10.8</v>
      </c>
      <c r="D1573" s="32">
        <f>(C1573*1.24778761061)+(0.4)</f>
        <v>13.876106194588003</v>
      </c>
      <c r="E1573" s="32">
        <f>(C1573*1.16814159292)+(-1)</f>
        <v>11.615929203536002</v>
      </c>
      <c r="F1573" s="32">
        <f>(C1573*1.1238938053)+(-4.4)</f>
        <v>7.7380530972400017</v>
      </c>
      <c r="G1573" s="32">
        <f>(C1573*1.06194690265)+(-5.9)</f>
        <v>5.5690265486200001</v>
      </c>
      <c r="H1573" s="34">
        <f>(C1573*1.19469026548)+(0)</f>
        <v>12.902654867184001</v>
      </c>
      <c r="I1573" s="34">
        <f>(C1573*1.16814159292)+(-2)</f>
        <v>10.615929203536002</v>
      </c>
      <c r="J1573" s="34">
        <f>(C1573*1.1238938053)+(-3.9)</f>
        <v>8.2380530972400017</v>
      </c>
      <c r="K1573" s="34">
        <f>(C1573*1.07964601769)+(-5.6)</f>
        <v>6.0601769910520016</v>
      </c>
    </row>
    <row r="1574" spans="1:11" ht="19.8" customHeight="1" x14ac:dyDescent="0.25"/>
    <row r="1575" spans="1:11" ht="19.8" customHeight="1" x14ac:dyDescent="0.25"/>
    <row r="1576" spans="1:11" ht="19.8" customHeight="1" x14ac:dyDescent="0.25"/>
  </sheetData>
  <mergeCells count="10">
    <mergeCell ref="A1:K1"/>
    <mergeCell ref="A2:K2"/>
    <mergeCell ref="A3:K3"/>
    <mergeCell ref="A5:A7"/>
    <mergeCell ref="B5:B7"/>
    <mergeCell ref="C5:C7"/>
    <mergeCell ref="D5:G5"/>
    <mergeCell ref="H5:K5"/>
    <mergeCell ref="D6:G6"/>
    <mergeCell ref="H6:K6"/>
  </mergeCells>
  <pageMargins left="0.17" right="0.17" top="0.75" bottom="0.5" header="0.3" footer="0.3"/>
  <pageSetup scale="76" fitToHeight="10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2A4D4-D486-4569-95E9-36D4962D5C33}">
  <sheetPr>
    <pageSetUpPr fitToPage="1"/>
  </sheetPr>
  <dimension ref="A1:K365"/>
  <sheetViews>
    <sheetView workbookViewId="0">
      <selection activeCell="B5" sqref="B5:B7"/>
    </sheetView>
  </sheetViews>
  <sheetFormatPr defaultColWidth="8.19921875" defaultRowHeight="15" x14ac:dyDescent="0.25"/>
  <cols>
    <col min="1" max="1" width="10.19921875" style="18" customWidth="1"/>
    <col min="2" max="2" width="38.59765625" style="2" customWidth="1"/>
    <col min="3" max="3" width="12.09765625" style="19" customWidth="1"/>
    <col min="4" max="7" width="12.09765625" style="7" customWidth="1"/>
    <col min="8" max="16" width="10.5" style="2" customWidth="1"/>
    <col min="17" max="256" width="8.19921875" style="2"/>
    <col min="257" max="257" width="10.19921875" style="2" customWidth="1"/>
    <col min="258" max="258" width="38.59765625" style="2" customWidth="1"/>
    <col min="259" max="263" width="12.09765625" style="2" customWidth="1"/>
    <col min="264" max="272" width="10.5" style="2" customWidth="1"/>
    <col min="273" max="512" width="8.19921875" style="2"/>
    <col min="513" max="513" width="10.19921875" style="2" customWidth="1"/>
    <col min="514" max="514" width="38.59765625" style="2" customWidth="1"/>
    <col min="515" max="519" width="12.09765625" style="2" customWidth="1"/>
    <col min="520" max="528" width="10.5" style="2" customWidth="1"/>
    <col min="529" max="768" width="8.19921875" style="2"/>
    <col min="769" max="769" width="10.19921875" style="2" customWidth="1"/>
    <col min="770" max="770" width="38.59765625" style="2" customWidth="1"/>
    <col min="771" max="775" width="12.09765625" style="2" customWidth="1"/>
    <col min="776" max="784" width="10.5" style="2" customWidth="1"/>
    <col min="785" max="1024" width="8.19921875" style="2"/>
    <col min="1025" max="1025" width="10.19921875" style="2" customWidth="1"/>
    <col min="1026" max="1026" width="38.59765625" style="2" customWidth="1"/>
    <col min="1027" max="1031" width="12.09765625" style="2" customWidth="1"/>
    <col min="1032" max="1040" width="10.5" style="2" customWidth="1"/>
    <col min="1041" max="1280" width="8.19921875" style="2"/>
    <col min="1281" max="1281" width="10.19921875" style="2" customWidth="1"/>
    <col min="1282" max="1282" width="38.59765625" style="2" customWidth="1"/>
    <col min="1283" max="1287" width="12.09765625" style="2" customWidth="1"/>
    <col min="1288" max="1296" width="10.5" style="2" customWidth="1"/>
    <col min="1297" max="1536" width="8.19921875" style="2"/>
    <col min="1537" max="1537" width="10.19921875" style="2" customWidth="1"/>
    <col min="1538" max="1538" width="38.59765625" style="2" customWidth="1"/>
    <col min="1539" max="1543" width="12.09765625" style="2" customWidth="1"/>
    <col min="1544" max="1552" width="10.5" style="2" customWidth="1"/>
    <col min="1553" max="1792" width="8.19921875" style="2"/>
    <col min="1793" max="1793" width="10.19921875" style="2" customWidth="1"/>
    <col min="1794" max="1794" width="38.59765625" style="2" customWidth="1"/>
    <col min="1795" max="1799" width="12.09765625" style="2" customWidth="1"/>
    <col min="1800" max="1808" width="10.5" style="2" customWidth="1"/>
    <col min="1809" max="2048" width="8.19921875" style="2"/>
    <col min="2049" max="2049" width="10.19921875" style="2" customWidth="1"/>
    <col min="2050" max="2050" width="38.59765625" style="2" customWidth="1"/>
    <col min="2051" max="2055" width="12.09765625" style="2" customWidth="1"/>
    <col min="2056" max="2064" width="10.5" style="2" customWidth="1"/>
    <col min="2065" max="2304" width="8.19921875" style="2"/>
    <col min="2305" max="2305" width="10.19921875" style="2" customWidth="1"/>
    <col min="2306" max="2306" width="38.59765625" style="2" customWidth="1"/>
    <col min="2307" max="2311" width="12.09765625" style="2" customWidth="1"/>
    <col min="2312" max="2320" width="10.5" style="2" customWidth="1"/>
    <col min="2321" max="2560" width="8.19921875" style="2"/>
    <col min="2561" max="2561" width="10.19921875" style="2" customWidth="1"/>
    <col min="2562" max="2562" width="38.59765625" style="2" customWidth="1"/>
    <col min="2563" max="2567" width="12.09765625" style="2" customWidth="1"/>
    <col min="2568" max="2576" width="10.5" style="2" customWidth="1"/>
    <col min="2577" max="2816" width="8.19921875" style="2"/>
    <col min="2817" max="2817" width="10.19921875" style="2" customWidth="1"/>
    <col min="2818" max="2818" width="38.59765625" style="2" customWidth="1"/>
    <col min="2819" max="2823" width="12.09765625" style="2" customWidth="1"/>
    <col min="2824" max="2832" width="10.5" style="2" customWidth="1"/>
    <col min="2833" max="3072" width="8.19921875" style="2"/>
    <col min="3073" max="3073" width="10.19921875" style="2" customWidth="1"/>
    <col min="3074" max="3074" width="38.59765625" style="2" customWidth="1"/>
    <col min="3075" max="3079" width="12.09765625" style="2" customWidth="1"/>
    <col min="3080" max="3088" width="10.5" style="2" customWidth="1"/>
    <col min="3089" max="3328" width="8.19921875" style="2"/>
    <col min="3329" max="3329" width="10.19921875" style="2" customWidth="1"/>
    <col min="3330" max="3330" width="38.59765625" style="2" customWidth="1"/>
    <col min="3331" max="3335" width="12.09765625" style="2" customWidth="1"/>
    <col min="3336" max="3344" width="10.5" style="2" customWidth="1"/>
    <col min="3345" max="3584" width="8.19921875" style="2"/>
    <col min="3585" max="3585" width="10.19921875" style="2" customWidth="1"/>
    <col min="3586" max="3586" width="38.59765625" style="2" customWidth="1"/>
    <col min="3587" max="3591" width="12.09765625" style="2" customWidth="1"/>
    <col min="3592" max="3600" width="10.5" style="2" customWidth="1"/>
    <col min="3601" max="3840" width="8.19921875" style="2"/>
    <col min="3841" max="3841" width="10.19921875" style="2" customWidth="1"/>
    <col min="3842" max="3842" width="38.59765625" style="2" customWidth="1"/>
    <col min="3843" max="3847" width="12.09765625" style="2" customWidth="1"/>
    <col min="3848" max="3856" width="10.5" style="2" customWidth="1"/>
    <col min="3857" max="4096" width="8.19921875" style="2"/>
    <col min="4097" max="4097" width="10.19921875" style="2" customWidth="1"/>
    <col min="4098" max="4098" width="38.59765625" style="2" customWidth="1"/>
    <col min="4099" max="4103" width="12.09765625" style="2" customWidth="1"/>
    <col min="4104" max="4112" width="10.5" style="2" customWidth="1"/>
    <col min="4113" max="4352" width="8.19921875" style="2"/>
    <col min="4353" max="4353" width="10.19921875" style="2" customWidth="1"/>
    <col min="4354" max="4354" width="38.59765625" style="2" customWidth="1"/>
    <col min="4355" max="4359" width="12.09765625" style="2" customWidth="1"/>
    <col min="4360" max="4368" width="10.5" style="2" customWidth="1"/>
    <col min="4369" max="4608" width="8.19921875" style="2"/>
    <col min="4609" max="4609" width="10.19921875" style="2" customWidth="1"/>
    <col min="4610" max="4610" width="38.59765625" style="2" customWidth="1"/>
    <col min="4611" max="4615" width="12.09765625" style="2" customWidth="1"/>
    <col min="4616" max="4624" width="10.5" style="2" customWidth="1"/>
    <col min="4625" max="4864" width="8.19921875" style="2"/>
    <col min="4865" max="4865" width="10.19921875" style="2" customWidth="1"/>
    <col min="4866" max="4866" width="38.59765625" style="2" customWidth="1"/>
    <col min="4867" max="4871" width="12.09765625" style="2" customWidth="1"/>
    <col min="4872" max="4880" width="10.5" style="2" customWidth="1"/>
    <col min="4881" max="5120" width="8.19921875" style="2"/>
    <col min="5121" max="5121" width="10.19921875" style="2" customWidth="1"/>
    <col min="5122" max="5122" width="38.59765625" style="2" customWidth="1"/>
    <col min="5123" max="5127" width="12.09765625" style="2" customWidth="1"/>
    <col min="5128" max="5136" width="10.5" style="2" customWidth="1"/>
    <col min="5137" max="5376" width="8.19921875" style="2"/>
    <col min="5377" max="5377" width="10.19921875" style="2" customWidth="1"/>
    <col min="5378" max="5378" width="38.59765625" style="2" customWidth="1"/>
    <col min="5379" max="5383" width="12.09765625" style="2" customWidth="1"/>
    <col min="5384" max="5392" width="10.5" style="2" customWidth="1"/>
    <col min="5393" max="5632" width="8.19921875" style="2"/>
    <col min="5633" max="5633" width="10.19921875" style="2" customWidth="1"/>
    <col min="5634" max="5634" width="38.59765625" style="2" customWidth="1"/>
    <col min="5635" max="5639" width="12.09765625" style="2" customWidth="1"/>
    <col min="5640" max="5648" width="10.5" style="2" customWidth="1"/>
    <col min="5649" max="5888" width="8.19921875" style="2"/>
    <col min="5889" max="5889" width="10.19921875" style="2" customWidth="1"/>
    <col min="5890" max="5890" width="38.59765625" style="2" customWidth="1"/>
    <col min="5891" max="5895" width="12.09765625" style="2" customWidth="1"/>
    <col min="5896" max="5904" width="10.5" style="2" customWidth="1"/>
    <col min="5905" max="6144" width="8.19921875" style="2"/>
    <col min="6145" max="6145" width="10.19921875" style="2" customWidth="1"/>
    <col min="6146" max="6146" width="38.59765625" style="2" customWidth="1"/>
    <col min="6147" max="6151" width="12.09765625" style="2" customWidth="1"/>
    <col min="6152" max="6160" width="10.5" style="2" customWidth="1"/>
    <col min="6161" max="6400" width="8.19921875" style="2"/>
    <col min="6401" max="6401" width="10.19921875" style="2" customWidth="1"/>
    <col min="6402" max="6402" width="38.59765625" style="2" customWidth="1"/>
    <col min="6403" max="6407" width="12.09765625" style="2" customWidth="1"/>
    <col min="6408" max="6416" width="10.5" style="2" customWidth="1"/>
    <col min="6417" max="6656" width="8.19921875" style="2"/>
    <col min="6657" max="6657" width="10.19921875" style="2" customWidth="1"/>
    <col min="6658" max="6658" width="38.59765625" style="2" customWidth="1"/>
    <col min="6659" max="6663" width="12.09765625" style="2" customWidth="1"/>
    <col min="6664" max="6672" width="10.5" style="2" customWidth="1"/>
    <col min="6673" max="6912" width="8.19921875" style="2"/>
    <col min="6913" max="6913" width="10.19921875" style="2" customWidth="1"/>
    <col min="6914" max="6914" width="38.59765625" style="2" customWidth="1"/>
    <col min="6915" max="6919" width="12.09765625" style="2" customWidth="1"/>
    <col min="6920" max="6928" width="10.5" style="2" customWidth="1"/>
    <col min="6929" max="7168" width="8.19921875" style="2"/>
    <col min="7169" max="7169" width="10.19921875" style="2" customWidth="1"/>
    <col min="7170" max="7170" width="38.59765625" style="2" customWidth="1"/>
    <col min="7171" max="7175" width="12.09765625" style="2" customWidth="1"/>
    <col min="7176" max="7184" width="10.5" style="2" customWidth="1"/>
    <col min="7185" max="7424" width="8.19921875" style="2"/>
    <col min="7425" max="7425" width="10.19921875" style="2" customWidth="1"/>
    <col min="7426" max="7426" width="38.59765625" style="2" customWidth="1"/>
    <col min="7427" max="7431" width="12.09765625" style="2" customWidth="1"/>
    <col min="7432" max="7440" width="10.5" style="2" customWidth="1"/>
    <col min="7441" max="7680" width="8.19921875" style="2"/>
    <col min="7681" max="7681" width="10.19921875" style="2" customWidth="1"/>
    <col min="7682" max="7682" width="38.59765625" style="2" customWidth="1"/>
    <col min="7683" max="7687" width="12.09765625" style="2" customWidth="1"/>
    <col min="7688" max="7696" width="10.5" style="2" customWidth="1"/>
    <col min="7697" max="7936" width="8.19921875" style="2"/>
    <col min="7937" max="7937" width="10.19921875" style="2" customWidth="1"/>
    <col min="7938" max="7938" width="38.59765625" style="2" customWidth="1"/>
    <col min="7939" max="7943" width="12.09765625" style="2" customWidth="1"/>
    <col min="7944" max="7952" width="10.5" style="2" customWidth="1"/>
    <col min="7953" max="8192" width="8.19921875" style="2"/>
    <col min="8193" max="8193" width="10.19921875" style="2" customWidth="1"/>
    <col min="8194" max="8194" width="38.59765625" style="2" customWidth="1"/>
    <col min="8195" max="8199" width="12.09765625" style="2" customWidth="1"/>
    <col min="8200" max="8208" width="10.5" style="2" customWidth="1"/>
    <col min="8209" max="8448" width="8.19921875" style="2"/>
    <col min="8449" max="8449" width="10.19921875" style="2" customWidth="1"/>
    <col min="8450" max="8450" width="38.59765625" style="2" customWidth="1"/>
    <col min="8451" max="8455" width="12.09765625" style="2" customWidth="1"/>
    <col min="8456" max="8464" width="10.5" style="2" customWidth="1"/>
    <col min="8465" max="8704" width="8.19921875" style="2"/>
    <col min="8705" max="8705" width="10.19921875" style="2" customWidth="1"/>
    <col min="8706" max="8706" width="38.59765625" style="2" customWidth="1"/>
    <col min="8707" max="8711" width="12.09765625" style="2" customWidth="1"/>
    <col min="8712" max="8720" width="10.5" style="2" customWidth="1"/>
    <col min="8721" max="8960" width="8.19921875" style="2"/>
    <col min="8961" max="8961" width="10.19921875" style="2" customWidth="1"/>
    <col min="8962" max="8962" width="38.59765625" style="2" customWidth="1"/>
    <col min="8963" max="8967" width="12.09765625" style="2" customWidth="1"/>
    <col min="8968" max="8976" width="10.5" style="2" customWidth="1"/>
    <col min="8977" max="9216" width="8.19921875" style="2"/>
    <col min="9217" max="9217" width="10.19921875" style="2" customWidth="1"/>
    <col min="9218" max="9218" width="38.59765625" style="2" customWidth="1"/>
    <col min="9219" max="9223" width="12.09765625" style="2" customWidth="1"/>
    <col min="9224" max="9232" width="10.5" style="2" customWidth="1"/>
    <col min="9233" max="9472" width="8.19921875" style="2"/>
    <col min="9473" max="9473" width="10.19921875" style="2" customWidth="1"/>
    <col min="9474" max="9474" width="38.59765625" style="2" customWidth="1"/>
    <col min="9475" max="9479" width="12.09765625" style="2" customWidth="1"/>
    <col min="9480" max="9488" width="10.5" style="2" customWidth="1"/>
    <col min="9489" max="9728" width="8.19921875" style="2"/>
    <col min="9729" max="9729" width="10.19921875" style="2" customWidth="1"/>
    <col min="9730" max="9730" width="38.59765625" style="2" customWidth="1"/>
    <col min="9731" max="9735" width="12.09765625" style="2" customWidth="1"/>
    <col min="9736" max="9744" width="10.5" style="2" customWidth="1"/>
    <col min="9745" max="9984" width="8.19921875" style="2"/>
    <col min="9985" max="9985" width="10.19921875" style="2" customWidth="1"/>
    <col min="9986" max="9986" width="38.59765625" style="2" customWidth="1"/>
    <col min="9987" max="9991" width="12.09765625" style="2" customWidth="1"/>
    <col min="9992" max="10000" width="10.5" style="2" customWidth="1"/>
    <col min="10001" max="10240" width="8.19921875" style="2"/>
    <col min="10241" max="10241" width="10.19921875" style="2" customWidth="1"/>
    <col min="10242" max="10242" width="38.59765625" style="2" customWidth="1"/>
    <col min="10243" max="10247" width="12.09765625" style="2" customWidth="1"/>
    <col min="10248" max="10256" width="10.5" style="2" customWidth="1"/>
    <col min="10257" max="10496" width="8.19921875" style="2"/>
    <col min="10497" max="10497" width="10.19921875" style="2" customWidth="1"/>
    <col min="10498" max="10498" width="38.59765625" style="2" customWidth="1"/>
    <col min="10499" max="10503" width="12.09765625" style="2" customWidth="1"/>
    <col min="10504" max="10512" width="10.5" style="2" customWidth="1"/>
    <col min="10513" max="10752" width="8.19921875" style="2"/>
    <col min="10753" max="10753" width="10.19921875" style="2" customWidth="1"/>
    <col min="10754" max="10754" width="38.59765625" style="2" customWidth="1"/>
    <col min="10755" max="10759" width="12.09765625" style="2" customWidth="1"/>
    <col min="10760" max="10768" width="10.5" style="2" customWidth="1"/>
    <col min="10769" max="11008" width="8.19921875" style="2"/>
    <col min="11009" max="11009" width="10.19921875" style="2" customWidth="1"/>
    <col min="11010" max="11010" width="38.59765625" style="2" customWidth="1"/>
    <col min="11011" max="11015" width="12.09765625" style="2" customWidth="1"/>
    <col min="11016" max="11024" width="10.5" style="2" customWidth="1"/>
    <col min="11025" max="11264" width="8.19921875" style="2"/>
    <col min="11265" max="11265" width="10.19921875" style="2" customWidth="1"/>
    <col min="11266" max="11266" width="38.59765625" style="2" customWidth="1"/>
    <col min="11267" max="11271" width="12.09765625" style="2" customWidth="1"/>
    <col min="11272" max="11280" width="10.5" style="2" customWidth="1"/>
    <col min="11281" max="11520" width="8.19921875" style="2"/>
    <col min="11521" max="11521" width="10.19921875" style="2" customWidth="1"/>
    <col min="11522" max="11522" width="38.59765625" style="2" customWidth="1"/>
    <col min="11523" max="11527" width="12.09765625" style="2" customWidth="1"/>
    <col min="11528" max="11536" width="10.5" style="2" customWidth="1"/>
    <col min="11537" max="11776" width="8.19921875" style="2"/>
    <col min="11777" max="11777" width="10.19921875" style="2" customWidth="1"/>
    <col min="11778" max="11778" width="38.59765625" style="2" customWidth="1"/>
    <col min="11779" max="11783" width="12.09765625" style="2" customWidth="1"/>
    <col min="11784" max="11792" width="10.5" style="2" customWidth="1"/>
    <col min="11793" max="12032" width="8.19921875" style="2"/>
    <col min="12033" max="12033" width="10.19921875" style="2" customWidth="1"/>
    <col min="12034" max="12034" width="38.59765625" style="2" customWidth="1"/>
    <col min="12035" max="12039" width="12.09765625" style="2" customWidth="1"/>
    <col min="12040" max="12048" width="10.5" style="2" customWidth="1"/>
    <col min="12049" max="12288" width="8.19921875" style="2"/>
    <col min="12289" max="12289" width="10.19921875" style="2" customWidth="1"/>
    <col min="12290" max="12290" width="38.59765625" style="2" customWidth="1"/>
    <col min="12291" max="12295" width="12.09765625" style="2" customWidth="1"/>
    <col min="12296" max="12304" width="10.5" style="2" customWidth="1"/>
    <col min="12305" max="12544" width="8.19921875" style="2"/>
    <col min="12545" max="12545" width="10.19921875" style="2" customWidth="1"/>
    <col min="12546" max="12546" width="38.59765625" style="2" customWidth="1"/>
    <col min="12547" max="12551" width="12.09765625" style="2" customWidth="1"/>
    <col min="12552" max="12560" width="10.5" style="2" customWidth="1"/>
    <col min="12561" max="12800" width="8.19921875" style="2"/>
    <col min="12801" max="12801" width="10.19921875" style="2" customWidth="1"/>
    <col min="12802" max="12802" width="38.59765625" style="2" customWidth="1"/>
    <col min="12803" max="12807" width="12.09765625" style="2" customWidth="1"/>
    <col min="12808" max="12816" width="10.5" style="2" customWidth="1"/>
    <col min="12817" max="13056" width="8.19921875" style="2"/>
    <col min="13057" max="13057" width="10.19921875" style="2" customWidth="1"/>
    <col min="13058" max="13058" width="38.59765625" style="2" customWidth="1"/>
    <col min="13059" max="13063" width="12.09765625" style="2" customWidth="1"/>
    <col min="13064" max="13072" width="10.5" style="2" customWidth="1"/>
    <col min="13073" max="13312" width="8.19921875" style="2"/>
    <col min="13313" max="13313" width="10.19921875" style="2" customWidth="1"/>
    <col min="13314" max="13314" width="38.59765625" style="2" customWidth="1"/>
    <col min="13315" max="13319" width="12.09765625" style="2" customWidth="1"/>
    <col min="13320" max="13328" width="10.5" style="2" customWidth="1"/>
    <col min="13329" max="13568" width="8.19921875" style="2"/>
    <col min="13569" max="13569" width="10.19921875" style="2" customWidth="1"/>
    <col min="13570" max="13570" width="38.59765625" style="2" customWidth="1"/>
    <col min="13571" max="13575" width="12.09765625" style="2" customWidth="1"/>
    <col min="13576" max="13584" width="10.5" style="2" customWidth="1"/>
    <col min="13585" max="13824" width="8.19921875" style="2"/>
    <col min="13825" max="13825" width="10.19921875" style="2" customWidth="1"/>
    <col min="13826" max="13826" width="38.59765625" style="2" customWidth="1"/>
    <col min="13827" max="13831" width="12.09765625" style="2" customWidth="1"/>
    <col min="13832" max="13840" width="10.5" style="2" customWidth="1"/>
    <col min="13841" max="14080" width="8.19921875" style="2"/>
    <col min="14081" max="14081" width="10.19921875" style="2" customWidth="1"/>
    <col min="14082" max="14082" width="38.59765625" style="2" customWidth="1"/>
    <col min="14083" max="14087" width="12.09765625" style="2" customWidth="1"/>
    <col min="14088" max="14096" width="10.5" style="2" customWidth="1"/>
    <col min="14097" max="14336" width="8.19921875" style="2"/>
    <col min="14337" max="14337" width="10.19921875" style="2" customWidth="1"/>
    <col min="14338" max="14338" width="38.59765625" style="2" customWidth="1"/>
    <col min="14339" max="14343" width="12.09765625" style="2" customWidth="1"/>
    <col min="14344" max="14352" width="10.5" style="2" customWidth="1"/>
    <col min="14353" max="14592" width="8.19921875" style="2"/>
    <col min="14593" max="14593" width="10.19921875" style="2" customWidth="1"/>
    <col min="14594" max="14594" width="38.59765625" style="2" customWidth="1"/>
    <col min="14595" max="14599" width="12.09765625" style="2" customWidth="1"/>
    <col min="14600" max="14608" width="10.5" style="2" customWidth="1"/>
    <col min="14609" max="14848" width="8.19921875" style="2"/>
    <col min="14849" max="14849" width="10.19921875" style="2" customWidth="1"/>
    <col min="14850" max="14850" width="38.59765625" style="2" customWidth="1"/>
    <col min="14851" max="14855" width="12.09765625" style="2" customWidth="1"/>
    <col min="14856" max="14864" width="10.5" style="2" customWidth="1"/>
    <col min="14865" max="15104" width="8.19921875" style="2"/>
    <col min="15105" max="15105" width="10.19921875" style="2" customWidth="1"/>
    <col min="15106" max="15106" width="38.59765625" style="2" customWidth="1"/>
    <col min="15107" max="15111" width="12.09765625" style="2" customWidth="1"/>
    <col min="15112" max="15120" width="10.5" style="2" customWidth="1"/>
    <col min="15121" max="15360" width="8.19921875" style="2"/>
    <col min="15361" max="15361" width="10.19921875" style="2" customWidth="1"/>
    <col min="15362" max="15362" width="38.59765625" style="2" customWidth="1"/>
    <col min="15363" max="15367" width="12.09765625" style="2" customWidth="1"/>
    <col min="15368" max="15376" width="10.5" style="2" customWidth="1"/>
    <col min="15377" max="15616" width="8.19921875" style="2"/>
    <col min="15617" max="15617" width="10.19921875" style="2" customWidth="1"/>
    <col min="15618" max="15618" width="38.59765625" style="2" customWidth="1"/>
    <col min="15619" max="15623" width="12.09765625" style="2" customWidth="1"/>
    <col min="15624" max="15632" width="10.5" style="2" customWidth="1"/>
    <col min="15633" max="15872" width="8.19921875" style="2"/>
    <col min="15873" max="15873" width="10.19921875" style="2" customWidth="1"/>
    <col min="15874" max="15874" width="38.59765625" style="2" customWidth="1"/>
    <col min="15875" max="15879" width="12.09765625" style="2" customWidth="1"/>
    <col min="15880" max="15888" width="10.5" style="2" customWidth="1"/>
    <col min="15889" max="16128" width="8.19921875" style="2"/>
    <col min="16129" max="16129" width="10.19921875" style="2" customWidth="1"/>
    <col min="16130" max="16130" width="38.59765625" style="2" customWidth="1"/>
    <col min="16131" max="16135" width="12.09765625" style="2" customWidth="1"/>
    <col min="16136" max="16144" width="10.5" style="2" customWidth="1"/>
    <col min="16145" max="16384" width="8.19921875" style="2"/>
  </cols>
  <sheetData>
    <row r="1" spans="1:11" s="1" customFormat="1" ht="16.95" customHeight="1" x14ac:dyDescent="0.25">
      <c r="A1" s="55" t="s">
        <v>0</v>
      </c>
      <c r="B1" s="55"/>
      <c r="C1" s="55"/>
      <c r="D1" s="55"/>
      <c r="E1" s="55"/>
      <c r="F1" s="55"/>
      <c r="G1" s="55"/>
    </row>
    <row r="2" spans="1:11" ht="26.25" customHeight="1" x14ac:dyDescent="0.25">
      <c r="A2" s="56" t="s">
        <v>1</v>
      </c>
      <c r="B2" s="56"/>
      <c r="C2" s="56"/>
      <c r="D2" s="56"/>
      <c r="E2" s="56"/>
      <c r="F2" s="56"/>
      <c r="G2" s="56"/>
    </row>
    <row r="3" spans="1:11" ht="19.95" customHeight="1" x14ac:dyDescent="0.25">
      <c r="A3" s="57" t="s">
        <v>1917</v>
      </c>
      <c r="B3" s="57"/>
      <c r="C3" s="57"/>
      <c r="D3" s="57"/>
      <c r="E3" s="57"/>
      <c r="F3" s="57"/>
      <c r="G3" s="57"/>
      <c r="H3" s="3"/>
      <c r="I3" s="3"/>
      <c r="J3" s="3"/>
      <c r="K3" s="3"/>
    </row>
    <row r="4" spans="1:11" ht="12.15" customHeight="1" x14ac:dyDescent="0.25">
      <c r="A4" s="4"/>
      <c r="B4" s="74"/>
      <c r="C4" s="5"/>
      <c r="D4" s="6"/>
    </row>
    <row r="5" spans="1:11" s="8" customFormat="1" ht="19.95" customHeight="1" x14ac:dyDescent="0.25">
      <c r="A5" s="58" t="s">
        <v>2</v>
      </c>
      <c r="B5" s="61" t="s">
        <v>3</v>
      </c>
      <c r="C5" s="64" t="s">
        <v>4</v>
      </c>
      <c r="D5" s="67" t="s">
        <v>5</v>
      </c>
      <c r="E5" s="68"/>
      <c r="F5" s="69" t="s">
        <v>6</v>
      </c>
      <c r="G5" s="69"/>
    </row>
    <row r="6" spans="1:11" s="8" customFormat="1" ht="19.95" customHeight="1" x14ac:dyDescent="0.25">
      <c r="A6" s="59"/>
      <c r="B6" s="62"/>
      <c r="C6" s="65"/>
      <c r="D6" s="70" t="s">
        <v>7</v>
      </c>
      <c r="E6" s="71"/>
      <c r="F6" s="70" t="s">
        <v>7</v>
      </c>
      <c r="G6" s="72"/>
    </row>
    <row r="7" spans="1:11" s="8" customFormat="1" ht="19.95" customHeight="1" x14ac:dyDescent="0.25">
      <c r="A7" s="60"/>
      <c r="B7" s="63"/>
      <c r="C7" s="66"/>
      <c r="D7" s="9" t="s">
        <v>8</v>
      </c>
      <c r="E7" s="10" t="s">
        <v>9</v>
      </c>
      <c r="F7" s="11" t="s">
        <v>8</v>
      </c>
      <c r="G7" s="12" t="s">
        <v>9</v>
      </c>
    </row>
    <row r="8" spans="1:11" ht="19.95" customHeight="1" x14ac:dyDescent="0.25">
      <c r="A8" s="13" t="str">
        <f>"1003986"</f>
        <v>1003986</v>
      </c>
      <c r="B8" s="75" t="s">
        <v>10</v>
      </c>
      <c r="C8" s="13" t="str">
        <f>"34.2"</f>
        <v>34.2</v>
      </c>
      <c r="D8" s="15">
        <f>(C8*1.13274336283)+(-1)</f>
        <v>37.739823008786004</v>
      </c>
      <c r="E8" s="16">
        <f>(C8*1.09734513274)+(-3.7)</f>
        <v>33.829203539707997</v>
      </c>
      <c r="F8" s="17">
        <f>(C8*1.13274336283)+(-0.2)</f>
        <v>38.539823008786001</v>
      </c>
      <c r="G8" s="17">
        <f>(C8*1.09734513274)+(-2.6)</f>
        <v>34.929203539707999</v>
      </c>
    </row>
    <row r="9" spans="1:11" ht="19.95" customHeight="1" x14ac:dyDescent="0.25">
      <c r="A9" s="13" t="str">
        <f>"77376"</f>
        <v>77376</v>
      </c>
      <c r="B9" s="75" t="s">
        <v>11</v>
      </c>
      <c r="C9" s="13" t="str">
        <f>"31.6"</f>
        <v>31.6</v>
      </c>
      <c r="D9" s="15">
        <f>(C9*1.13274336283)+(-1)</f>
        <v>34.794690265428002</v>
      </c>
      <c r="E9" s="16">
        <f>(C9*1.09734513274)+(-3.7)</f>
        <v>30.976106194584002</v>
      </c>
      <c r="F9" s="17">
        <f>(C9*1.13274336283)+(-0.2)</f>
        <v>35.594690265428</v>
      </c>
      <c r="G9" s="17">
        <f>(C9*1.09734513274)+(-2.6)</f>
        <v>32.076106194584</v>
      </c>
    </row>
    <row r="10" spans="1:11" ht="19.95" customHeight="1" x14ac:dyDescent="0.25">
      <c r="A10" s="13" t="str">
        <f>"77377"</f>
        <v>77377</v>
      </c>
      <c r="B10" s="75" t="s">
        <v>12</v>
      </c>
      <c r="C10" s="13" t="str">
        <f>"28.0"</f>
        <v>28.0</v>
      </c>
      <c r="D10" s="15">
        <f>(C10*1.13274336283)+(-1)</f>
        <v>30.716814159240002</v>
      </c>
      <c r="E10" s="16">
        <f>(C10*1.09734513274)+(-3.7)</f>
        <v>27.025663716719997</v>
      </c>
      <c r="F10" s="17">
        <f>(C10*1.13274336283)+(-0.2)</f>
        <v>31.516814159240003</v>
      </c>
      <c r="G10" s="17">
        <f>(C10*1.09734513274)+(-2.6)</f>
        <v>28.125663716719995</v>
      </c>
    </row>
    <row r="11" spans="1:11" ht="19.95" customHeight="1" x14ac:dyDescent="0.25">
      <c r="A11" s="13" t="str">
        <f>"1016443"</f>
        <v>1016443</v>
      </c>
      <c r="B11" s="75" t="s">
        <v>13</v>
      </c>
      <c r="C11" s="13" t="str">
        <f>"24.1"</f>
        <v>24.1</v>
      </c>
      <c r="D11" s="15">
        <f>(C11*1.13274336283)+(-1)</f>
        <v>26.299115044203003</v>
      </c>
      <c r="E11" s="16">
        <f>(C11*1.09734513274)+(-3.7)</f>
        <v>22.746017699033999</v>
      </c>
      <c r="F11" s="17">
        <f>(C11*1.13274336283)+(-0.2)</f>
        <v>27.099115044203003</v>
      </c>
      <c r="G11" s="17">
        <f>(C11*1.09734513274)+(-2.6)</f>
        <v>23.846017699033997</v>
      </c>
    </row>
    <row r="12" spans="1:11" ht="19.95" customHeight="1" x14ac:dyDescent="0.25">
      <c r="A12" s="13" t="str">
        <f>"72583"</f>
        <v>72583</v>
      </c>
      <c r="B12" s="75" t="s">
        <v>14</v>
      </c>
      <c r="C12" s="13" t="str">
        <f>"22.8"</f>
        <v>22.8</v>
      </c>
      <c r="D12" s="15">
        <f>(C12*1.13274336283)+(-1)</f>
        <v>24.826548672524002</v>
      </c>
      <c r="E12" s="16">
        <f>(C12*1.09734513274)+(-3.7)</f>
        <v>21.319469026471999</v>
      </c>
      <c r="F12" s="17">
        <f>(C12*1.13274336283)+(-0.2)</f>
        <v>25.626548672524002</v>
      </c>
      <c r="G12" s="17">
        <f>(C12*1.09734513274)+(-2.6)</f>
        <v>22.419469026471997</v>
      </c>
    </row>
    <row r="13" spans="1:11" ht="19.95" customHeight="1" x14ac:dyDescent="0.25">
      <c r="A13" s="13" t="str">
        <f>"1000697"</f>
        <v>1000697</v>
      </c>
      <c r="B13" s="75" t="s">
        <v>15</v>
      </c>
      <c r="C13" s="13" t="str">
        <f>"17.3"</f>
        <v>17.3</v>
      </c>
      <c r="D13" s="15">
        <f>(C13*1.13274336283)+(-1)</f>
        <v>18.596460176959003</v>
      </c>
      <c r="E13" s="16">
        <f>(C13*1.09734513274)+(-3.7)</f>
        <v>15.284070796401998</v>
      </c>
      <c r="F13" s="17">
        <f>(C13*1.13274336283)+(-0.2)</f>
        <v>19.396460176959003</v>
      </c>
      <c r="G13" s="17">
        <f>(C13*1.09734513274)+(-2.6)</f>
        <v>16.384070796401996</v>
      </c>
    </row>
    <row r="14" spans="1:11" ht="19.95" customHeight="1" x14ac:dyDescent="0.25">
      <c r="A14" s="13" t="str">
        <f>"23887"</f>
        <v>23887</v>
      </c>
      <c r="B14" s="75" t="s">
        <v>16</v>
      </c>
      <c r="C14" s="13" t="str">
        <f>"38.6"</f>
        <v>38.6</v>
      </c>
      <c r="D14" s="15">
        <f>(C14*1.13274336283)+(-1)</f>
        <v>42.723893805238006</v>
      </c>
      <c r="E14" s="16">
        <f>(C14*1.09734513274)+(-3.7)</f>
        <v>38.657522123763997</v>
      </c>
      <c r="F14" s="17">
        <f>(C14*1.13274336283)+(-0.2)</f>
        <v>43.523893805238004</v>
      </c>
      <c r="G14" s="17">
        <f>(C14*1.09734513274)+(-2.6)</f>
        <v>39.757522123763998</v>
      </c>
    </row>
    <row r="15" spans="1:11" ht="19.95" customHeight="1" x14ac:dyDescent="0.25">
      <c r="A15" s="13" t="str">
        <f>"71626"</f>
        <v>71626</v>
      </c>
      <c r="B15" s="75" t="s">
        <v>17</v>
      </c>
      <c r="C15" s="13" t="str">
        <f>"10.0"</f>
        <v>10.0</v>
      </c>
      <c r="D15" s="15">
        <f>(C15*1.13274336283)+(-1)</f>
        <v>10.327433628300001</v>
      </c>
      <c r="E15" s="16">
        <f>(C15*1.09734513274)+(-3.7)</f>
        <v>7.2734513273999992</v>
      </c>
      <c r="F15" s="17">
        <f>(C15*1.13274336283)+(-0.2)</f>
        <v>11.127433628300002</v>
      </c>
      <c r="G15" s="17">
        <f>(C15*1.09734513274)+(-2.6)</f>
        <v>8.3734513273999998</v>
      </c>
    </row>
    <row r="16" spans="1:11" ht="19.95" customHeight="1" x14ac:dyDescent="0.25">
      <c r="A16" s="13" t="str">
        <f>"69069"</f>
        <v>69069</v>
      </c>
      <c r="B16" s="75" t="s">
        <v>18</v>
      </c>
      <c r="C16" s="13" t="str">
        <f>"17.5"</f>
        <v>17.5</v>
      </c>
      <c r="D16" s="15">
        <f>(C16*1.13274336283)+(-1)</f>
        <v>18.823008849525003</v>
      </c>
      <c r="E16" s="16">
        <f>(C16*1.09734513274)+(-3.7)</f>
        <v>15.50353982295</v>
      </c>
      <c r="F16" s="17">
        <f>(C16*1.13274336283)+(-0.2)</f>
        <v>19.623008849525004</v>
      </c>
      <c r="G16" s="17">
        <f>(C16*1.09734513274)+(-2.6)</f>
        <v>16.603539822949998</v>
      </c>
    </row>
    <row r="17" spans="1:7" ht="19.95" customHeight="1" x14ac:dyDescent="0.25">
      <c r="A17" s="13" t="str">
        <f>"1013132"</f>
        <v>1013132</v>
      </c>
      <c r="B17" s="75" t="s">
        <v>19</v>
      </c>
      <c r="C17" s="13" t="str">
        <f>"29.4"</f>
        <v>29.4</v>
      </c>
      <c r="D17" s="15">
        <f>(C17*1.13274336283)+(-1)</f>
        <v>32.302654867202001</v>
      </c>
      <c r="E17" s="16">
        <f>(C17*1.09734513274)+(-3.7)</f>
        <v>28.561946902555999</v>
      </c>
      <c r="F17" s="17">
        <f>(C17*1.13274336283)+(-0.2)</f>
        <v>33.102654867201998</v>
      </c>
      <c r="G17" s="17">
        <f>(C17*1.09734513274)+(-2.6)</f>
        <v>29.661946902555997</v>
      </c>
    </row>
    <row r="18" spans="1:7" ht="19.95" customHeight="1" x14ac:dyDescent="0.25">
      <c r="A18" s="13" t="str">
        <f>"75124"</f>
        <v>75124</v>
      </c>
      <c r="B18" s="75" t="s">
        <v>20</v>
      </c>
      <c r="C18" s="13" t="str">
        <f>"27.1"</f>
        <v>27.1</v>
      </c>
      <c r="D18" s="15">
        <f>(C18*1.13274336283)+(-1)</f>
        <v>29.697345132693005</v>
      </c>
      <c r="E18" s="16">
        <f>(C18*1.09734513274)+(-3.7)</f>
        <v>26.038053097254</v>
      </c>
      <c r="F18" s="17">
        <f>(C18*1.13274336283)+(-0.2)</f>
        <v>30.497345132693006</v>
      </c>
      <c r="G18" s="17">
        <f>(C18*1.09734513274)+(-2.6)</f>
        <v>27.138053097253998</v>
      </c>
    </row>
    <row r="19" spans="1:7" ht="19.95" customHeight="1" x14ac:dyDescent="0.25">
      <c r="A19" s="13" t="str">
        <f>"41373"</f>
        <v>41373</v>
      </c>
      <c r="B19" s="75" t="s">
        <v>21</v>
      </c>
      <c r="C19" s="13" t="str">
        <f>"23.1"</f>
        <v>23.1</v>
      </c>
      <c r="D19" s="15">
        <f>(C19*1.13274336283)+(-1)</f>
        <v>25.166371681373004</v>
      </c>
      <c r="E19" s="16">
        <f>(C19*1.09734513274)+(-3.7)</f>
        <v>21.648672566294</v>
      </c>
      <c r="F19" s="17">
        <f>(C19*1.13274336283)+(-0.2)</f>
        <v>25.966371681373005</v>
      </c>
      <c r="G19" s="17">
        <f>(C19*1.09734513274)+(-2.6)</f>
        <v>22.748672566293997</v>
      </c>
    </row>
    <row r="20" spans="1:7" ht="19.95" customHeight="1" x14ac:dyDescent="0.25">
      <c r="A20" s="13" t="str">
        <f>"36970"</f>
        <v>36970</v>
      </c>
      <c r="B20" s="75" t="s">
        <v>22</v>
      </c>
      <c r="C20" s="13" t="str">
        <f>"21.3"</f>
        <v>21.3</v>
      </c>
      <c r="D20" s="15">
        <f>(C20*1.13274336283)+(-1)</f>
        <v>23.127433628279004</v>
      </c>
      <c r="E20" s="16">
        <f>(C20*1.09734513274)+(-3.7)</f>
        <v>19.673451327361999</v>
      </c>
      <c r="F20" s="17">
        <f>(C20*1.13274336283)+(-0.2)</f>
        <v>23.927433628279005</v>
      </c>
      <c r="G20" s="17">
        <f>(C20*1.09734513274)+(-2.6)</f>
        <v>20.773451327361997</v>
      </c>
    </row>
    <row r="21" spans="1:7" ht="19.95" customHeight="1" x14ac:dyDescent="0.25">
      <c r="A21" s="13" t="str">
        <f>"74856"</f>
        <v>74856</v>
      </c>
      <c r="B21" s="75" t="s">
        <v>23</v>
      </c>
      <c r="C21" s="13" t="str">
        <f>"16.2"</f>
        <v>16.2</v>
      </c>
      <c r="D21" s="15">
        <f>(C21*1.13274336283)+(-1)</f>
        <v>17.350442477846002</v>
      </c>
      <c r="E21" s="16">
        <f>(C21*1.09734513274)+(-3.7)</f>
        <v>14.076991150387997</v>
      </c>
      <c r="F21" s="17">
        <f>(C21*1.13274336283)+(-0.2)</f>
        <v>18.150442477846003</v>
      </c>
      <c r="G21" s="17">
        <f>(C21*1.09734513274)+(-2.6)</f>
        <v>15.176991150387996</v>
      </c>
    </row>
    <row r="22" spans="1:7" ht="19.95" customHeight="1" x14ac:dyDescent="0.25">
      <c r="A22" s="13" t="str">
        <f>"41372"</f>
        <v>41372</v>
      </c>
      <c r="B22" s="75" t="s">
        <v>24</v>
      </c>
      <c r="C22" s="13" t="str">
        <f>"24.3"</f>
        <v>24.3</v>
      </c>
      <c r="D22" s="15">
        <f>(C22*1.13274336283)+(-1)</f>
        <v>26.525663716769003</v>
      </c>
      <c r="E22" s="16">
        <f>(C22*1.09734513274)+(-3.7)</f>
        <v>22.965486725582</v>
      </c>
      <c r="F22" s="17">
        <f>(C22*1.13274336283)+(-0.2)</f>
        <v>27.325663716769004</v>
      </c>
      <c r="G22" s="17">
        <f>(C22*1.09734513274)+(-2.6)</f>
        <v>24.065486725581998</v>
      </c>
    </row>
    <row r="23" spans="1:7" ht="19.95" customHeight="1" x14ac:dyDescent="0.25">
      <c r="A23" s="13" t="str">
        <f>"43599"</f>
        <v>43599</v>
      </c>
      <c r="B23" s="75" t="s">
        <v>25</v>
      </c>
      <c r="C23" s="13" t="str">
        <f>"23.5"</f>
        <v>23.5</v>
      </c>
      <c r="D23" s="15">
        <f>(C23*1.13274336283)+(-1)</f>
        <v>25.619469026505001</v>
      </c>
      <c r="E23" s="16">
        <f>(C23*1.09734513274)+(-3.7)</f>
        <v>22.087610619389999</v>
      </c>
      <c r="F23" s="17">
        <f>(C23*1.13274336283)+(-0.2)</f>
        <v>26.419469026505002</v>
      </c>
      <c r="G23" s="17">
        <f>(C23*1.09734513274)+(-2.6)</f>
        <v>23.187610619389996</v>
      </c>
    </row>
    <row r="24" spans="1:7" ht="19.95" customHeight="1" x14ac:dyDescent="0.25">
      <c r="A24" s="13" t="str">
        <f>"1012048"</f>
        <v>1012048</v>
      </c>
      <c r="B24" s="75" t="s">
        <v>26</v>
      </c>
      <c r="C24" s="13" t="str">
        <f>"42.6"</f>
        <v>42.6</v>
      </c>
      <c r="D24" s="15">
        <f>(C24*1.13274336283)+(-1)</f>
        <v>47.254867256558008</v>
      </c>
      <c r="E24" s="16">
        <f>(C24*1.09734513274)+(-3.7)</f>
        <v>43.046902654723993</v>
      </c>
      <c r="F24" s="17">
        <f>(C24*1.13274336283)+(-0.2)</f>
        <v>48.054867256558005</v>
      </c>
      <c r="G24" s="17">
        <f>(C24*1.09734513274)+(-2.6)</f>
        <v>44.146902654723995</v>
      </c>
    </row>
    <row r="25" spans="1:7" ht="19.95" customHeight="1" x14ac:dyDescent="0.25">
      <c r="A25" s="13" t="str">
        <f>"17445"</f>
        <v>17445</v>
      </c>
      <c r="B25" s="75" t="s">
        <v>27</v>
      </c>
      <c r="C25" s="13" t="str">
        <f>"37.7"</f>
        <v>37.7</v>
      </c>
      <c r="D25" s="15">
        <f>(C25*1.13274336283)+(-1)</f>
        <v>41.704424778691006</v>
      </c>
      <c r="E25" s="16">
        <f>(C25*1.09734513274)+(-3.7)</f>
        <v>37.669911504298</v>
      </c>
      <c r="F25" s="17">
        <f>(C25*1.13274336283)+(-0.2)</f>
        <v>42.504424778691003</v>
      </c>
      <c r="G25" s="17">
        <f>(C25*1.09734513274)+(-2.6)</f>
        <v>38.769911504298001</v>
      </c>
    </row>
    <row r="26" spans="1:7" ht="19.95" customHeight="1" x14ac:dyDescent="0.25">
      <c r="A26" s="13" t="str">
        <f>"45877"</f>
        <v>45877</v>
      </c>
      <c r="B26" s="75" t="s">
        <v>28</v>
      </c>
      <c r="C26" s="13" t="str">
        <f>"18.8"</f>
        <v>18.8</v>
      </c>
      <c r="D26" s="15">
        <f>(C26*1.13274336283)+(-1)</f>
        <v>20.295575221204004</v>
      </c>
      <c r="E26" s="16">
        <f>(C26*1.09734513274)+(-3.7)</f>
        <v>16.930088495511999</v>
      </c>
      <c r="F26" s="17">
        <f>(C26*1.13274336283)+(-0.2)</f>
        <v>21.095575221204005</v>
      </c>
      <c r="G26" s="17">
        <f>(C26*1.09734513274)+(-2.6)</f>
        <v>18.030088495511997</v>
      </c>
    </row>
    <row r="27" spans="1:7" ht="19.95" customHeight="1" x14ac:dyDescent="0.25">
      <c r="A27" s="13" t="str">
        <f>"1001081"</f>
        <v>1001081</v>
      </c>
      <c r="B27" s="75" t="s">
        <v>29</v>
      </c>
      <c r="C27" s="13" t="str">
        <f>"21.5"</f>
        <v>21.5</v>
      </c>
      <c r="D27" s="15">
        <f>(C27*1.13274336283)+(-1)</f>
        <v>23.353982300845001</v>
      </c>
      <c r="E27" s="16">
        <f>(C27*1.09734513274)+(-3.7)</f>
        <v>19.89292035391</v>
      </c>
      <c r="F27" s="17">
        <f>(C27*1.13274336283)+(-0.2)</f>
        <v>24.153982300845001</v>
      </c>
      <c r="G27" s="17">
        <f>(C27*1.09734513274)+(-2.6)</f>
        <v>20.992920353909998</v>
      </c>
    </row>
    <row r="28" spans="1:7" ht="19.95" customHeight="1" x14ac:dyDescent="0.25">
      <c r="A28" s="13" t="str">
        <f>"75864"</f>
        <v>75864</v>
      </c>
      <c r="B28" s="75" t="s">
        <v>30</v>
      </c>
      <c r="C28" s="13" t="str">
        <f>"24.4"</f>
        <v>24.4</v>
      </c>
      <c r="D28" s="15">
        <f>(C28*1.13274336283)+(-1)</f>
        <v>26.638938053052001</v>
      </c>
      <c r="E28" s="16">
        <f>(C28*1.09734513274)+(-3.7)</f>
        <v>23.075221238855995</v>
      </c>
      <c r="F28" s="17">
        <f>(C28*1.13274336283)+(-0.2)</f>
        <v>27.438938053052002</v>
      </c>
      <c r="G28" s="17">
        <f>(C28*1.09734513274)+(-2.6)</f>
        <v>24.175221238855993</v>
      </c>
    </row>
    <row r="29" spans="1:7" ht="19.95" customHeight="1" x14ac:dyDescent="0.25">
      <c r="A29" s="13" t="str">
        <f>"17446"</f>
        <v>17446</v>
      </c>
      <c r="B29" s="75" t="s">
        <v>31</v>
      </c>
      <c r="C29" s="13" t="str">
        <f>"14.2"</f>
        <v>14.2</v>
      </c>
      <c r="D29" s="15">
        <f>(C29*1.13274336283)+(-1)</f>
        <v>15.084955752186001</v>
      </c>
      <c r="E29" s="16">
        <f>(C29*1.09734513274)+(-3.7)</f>
        <v>11.882300884907998</v>
      </c>
      <c r="F29" s="17">
        <f>(C29*1.13274336283)+(-0.2)</f>
        <v>15.884955752186002</v>
      </c>
      <c r="G29" s="17">
        <f>(C29*1.09734513274)+(-2.6)</f>
        <v>12.982300884907998</v>
      </c>
    </row>
    <row r="30" spans="1:7" ht="19.95" customHeight="1" x14ac:dyDescent="0.25">
      <c r="A30" s="13" t="str">
        <f>"17447"</f>
        <v>17447</v>
      </c>
      <c r="B30" s="75" t="s">
        <v>32</v>
      </c>
      <c r="C30" s="13" t="str">
        <f>"27.2"</f>
        <v>27.2</v>
      </c>
      <c r="D30" s="15">
        <f>(C30*1.13274336283)+(-1)</f>
        <v>29.810619468976</v>
      </c>
      <c r="E30" s="16">
        <f>(C30*1.09734513274)+(-3.7)</f>
        <v>26.147787610527995</v>
      </c>
      <c r="F30" s="17">
        <f>(C30*1.13274336283)+(-0.2)</f>
        <v>30.610619468976001</v>
      </c>
      <c r="G30" s="17">
        <f>(C30*1.09734513274)+(-2.6)</f>
        <v>27.247787610527993</v>
      </c>
    </row>
    <row r="31" spans="1:7" ht="19.95" customHeight="1" x14ac:dyDescent="0.25">
      <c r="A31" s="13" t="str">
        <f>"068316"</f>
        <v>068316</v>
      </c>
      <c r="B31" s="75" t="s">
        <v>33</v>
      </c>
      <c r="C31" s="13" t="str">
        <f>"23.3"</f>
        <v>23.3</v>
      </c>
      <c r="D31" s="15">
        <f>(C31*1.13274336283)+(-1)</f>
        <v>25.392920353939004</v>
      </c>
      <c r="E31" s="16">
        <f>(C31*1.09734513274)+(-3.7)</f>
        <v>21.868141592841997</v>
      </c>
      <c r="F31" s="17">
        <f>(C31*1.13274336283)+(-0.2)</f>
        <v>26.192920353939005</v>
      </c>
      <c r="G31" s="17">
        <f>(C31*1.09734513274)+(-2.6)</f>
        <v>22.968141592841995</v>
      </c>
    </row>
    <row r="32" spans="1:7" ht="19.95" customHeight="1" x14ac:dyDescent="0.25">
      <c r="A32" s="13" t="str">
        <f>"1009939"</f>
        <v>1009939</v>
      </c>
      <c r="B32" s="75" t="s">
        <v>34</v>
      </c>
      <c r="C32" s="13" t="str">
        <f>"29.0"</f>
        <v>29.0</v>
      </c>
      <c r="D32" s="15">
        <f>(C32*1.13274336283)+(-1)</f>
        <v>31.84955752207</v>
      </c>
      <c r="E32" s="16">
        <f>(C32*1.09734513274)+(-3.7)</f>
        <v>28.123008849459996</v>
      </c>
      <c r="F32" s="17">
        <f>(C32*1.13274336283)+(-0.2)</f>
        <v>32.649557522069998</v>
      </c>
      <c r="G32" s="17">
        <f>(C32*1.09734513274)+(-2.6)</f>
        <v>29.223008849459994</v>
      </c>
    </row>
    <row r="33" spans="1:7" ht="19.95" customHeight="1" x14ac:dyDescent="0.25">
      <c r="A33" s="13" t="str">
        <f>"76460"</f>
        <v>76460</v>
      </c>
      <c r="B33" s="75" t="s">
        <v>35</v>
      </c>
      <c r="C33" s="13" t="str">
        <f>"33.2"</f>
        <v>33.2</v>
      </c>
      <c r="D33" s="15">
        <f>(C33*1.13274336283)+(-1)</f>
        <v>36.607079645956006</v>
      </c>
      <c r="E33" s="16">
        <f>(C33*1.09734513274)+(-3.7)</f>
        <v>32.731858406967994</v>
      </c>
      <c r="F33" s="17">
        <f>(C33*1.13274336283)+(-0.2)</f>
        <v>37.407079645956003</v>
      </c>
      <c r="G33" s="17">
        <f>(C33*1.09734513274)+(-2.6)</f>
        <v>33.831858406967996</v>
      </c>
    </row>
    <row r="34" spans="1:7" ht="19.95" customHeight="1" x14ac:dyDescent="0.25">
      <c r="A34" s="13" t="str">
        <f>"21508"</f>
        <v>21508</v>
      </c>
      <c r="B34" s="75" t="s">
        <v>36</v>
      </c>
      <c r="C34" s="13" t="str">
        <f>"23.1"</f>
        <v>23.1</v>
      </c>
      <c r="D34" s="15">
        <f>(C34*1.13274336283)+(-1)</f>
        <v>25.166371681373004</v>
      </c>
      <c r="E34" s="16">
        <f>(C34*1.09734513274)+(-3.7)</f>
        <v>21.648672566294</v>
      </c>
      <c r="F34" s="17">
        <f>(C34*1.13274336283)+(-0.2)</f>
        <v>25.966371681373005</v>
      </c>
      <c r="G34" s="17">
        <f>(C34*1.09734513274)+(-2.6)</f>
        <v>22.748672566293997</v>
      </c>
    </row>
    <row r="35" spans="1:7" ht="19.95" customHeight="1" x14ac:dyDescent="0.25">
      <c r="A35" s="13" t="str">
        <f>"20454"</f>
        <v>20454</v>
      </c>
      <c r="B35" s="75" t="s">
        <v>37</v>
      </c>
      <c r="C35" s="13" t="str">
        <f>"32.0"</f>
        <v>32.0</v>
      </c>
      <c r="D35" s="15">
        <f>(C35*1.13274336283)+(-1)</f>
        <v>35.247787610560003</v>
      </c>
      <c r="E35" s="16">
        <f>(C35*1.09734513274)+(-3.7)</f>
        <v>31.415044247679997</v>
      </c>
      <c r="F35" s="17">
        <f>(C35*1.13274336283)+(-0.2)</f>
        <v>36.04778761056</v>
      </c>
      <c r="G35" s="17">
        <f>(C35*1.09734513274)+(-2.6)</f>
        <v>32.515044247679995</v>
      </c>
    </row>
    <row r="36" spans="1:7" ht="19.95" customHeight="1" x14ac:dyDescent="0.25">
      <c r="A36" s="13" t="str">
        <f>"17452"</f>
        <v>17452</v>
      </c>
      <c r="B36" s="75" t="s">
        <v>1926</v>
      </c>
      <c r="C36" s="13" t="str">
        <f>"27.2"</f>
        <v>27.2</v>
      </c>
      <c r="D36" s="15">
        <f>(C36*1.13274336283)+(-1)</f>
        <v>29.810619468976</v>
      </c>
      <c r="E36" s="16">
        <f>(C36*1.09734513274)+(-3.7)</f>
        <v>26.147787610527995</v>
      </c>
      <c r="F36" s="17">
        <f>(C36*1.13274336283)+(-0.2)</f>
        <v>30.610619468976001</v>
      </c>
      <c r="G36" s="17">
        <f>(C36*1.09734513274)+(-2.6)</f>
        <v>27.247787610527993</v>
      </c>
    </row>
    <row r="37" spans="1:7" ht="19.95" customHeight="1" x14ac:dyDescent="0.25">
      <c r="A37" s="13" t="str">
        <f>"1008038"</f>
        <v>1008038</v>
      </c>
      <c r="B37" s="75" t="s">
        <v>38</v>
      </c>
      <c r="C37" s="13" t="str">
        <f>"9.4"</f>
        <v>9.4</v>
      </c>
      <c r="D37" s="15">
        <f>(C37*1.13274336283)+(-1)</f>
        <v>9.647787610602002</v>
      </c>
      <c r="E37" s="16">
        <f>(C37*1.09734513274)+(-3.7)</f>
        <v>6.615044247755999</v>
      </c>
      <c r="F37" s="17">
        <f>(C37*1.13274336283)+(-0.2)</f>
        <v>10.447787610602003</v>
      </c>
      <c r="G37" s="17">
        <f>(C37*1.09734513274)+(-2.6)</f>
        <v>7.7150442477559995</v>
      </c>
    </row>
    <row r="38" spans="1:7" ht="19.95" customHeight="1" x14ac:dyDescent="0.25">
      <c r="A38" s="13" t="str">
        <f>"1008037"</f>
        <v>1008037</v>
      </c>
      <c r="B38" s="75" t="s">
        <v>39</v>
      </c>
      <c r="C38" s="13" t="str">
        <f>"25.3"</f>
        <v>25.3</v>
      </c>
      <c r="D38" s="15">
        <f>(C38*1.13274336283)+(-1)</f>
        <v>27.658407079599002</v>
      </c>
      <c r="E38" s="16">
        <f>(C38*1.09734513274)+(-3.7)</f>
        <v>24.062831858321999</v>
      </c>
      <c r="F38" s="17">
        <f>(C38*1.13274336283)+(-0.2)</f>
        <v>28.458407079599002</v>
      </c>
      <c r="G38" s="17">
        <f>(C38*1.09734513274)+(-2.6)</f>
        <v>25.162831858321997</v>
      </c>
    </row>
    <row r="39" spans="1:7" ht="19.95" customHeight="1" x14ac:dyDescent="0.25">
      <c r="A39" s="13" t="str">
        <f>"76416"</f>
        <v>76416</v>
      </c>
      <c r="B39" s="75" t="s">
        <v>40</v>
      </c>
      <c r="C39" s="13" t="str">
        <f>"31.3"</f>
        <v>31.3</v>
      </c>
      <c r="D39" s="15">
        <f>(C39*1.13274336283)+(-1)</f>
        <v>34.454867256579007</v>
      </c>
      <c r="E39" s="16">
        <f>(C39*1.09734513274)+(-3.7)</f>
        <v>30.646902654761998</v>
      </c>
      <c r="F39" s="17">
        <f>(C39*1.13274336283)+(-0.2)</f>
        <v>35.254867256579004</v>
      </c>
      <c r="G39" s="17">
        <f>(C39*1.09734513274)+(-2.6)</f>
        <v>31.746902654761996</v>
      </c>
    </row>
    <row r="40" spans="1:7" ht="19.95" customHeight="1" x14ac:dyDescent="0.25">
      <c r="A40" s="13" t="str">
        <f>"76634"</f>
        <v>76634</v>
      </c>
      <c r="B40" s="75" t="s">
        <v>41</v>
      </c>
      <c r="C40" s="13" t="str">
        <f>"7.6"</f>
        <v>7.6</v>
      </c>
      <c r="D40" s="15">
        <f>(C40*1.13274336283)+(-1)</f>
        <v>7.608849557508</v>
      </c>
      <c r="E40" s="16">
        <f>(C40*1.09734513274)+(-3.7)</f>
        <v>4.6398230088239982</v>
      </c>
      <c r="F40" s="17">
        <f>(C40*1.13274336283)+(-0.2)</f>
        <v>8.4088495575080007</v>
      </c>
      <c r="G40" s="17">
        <f>(C40*1.09734513274)+(-2.6)</f>
        <v>5.7398230088239988</v>
      </c>
    </row>
    <row r="41" spans="1:7" ht="19.95" customHeight="1" x14ac:dyDescent="0.25">
      <c r="A41" s="13" t="str">
        <f>"76415"</f>
        <v>76415</v>
      </c>
      <c r="B41" s="75" t="s">
        <v>42</v>
      </c>
      <c r="C41" s="13" t="str">
        <f>"8.2"</f>
        <v>8.2</v>
      </c>
      <c r="D41" s="15">
        <f>(C41*1.13274336283)+(-1)</f>
        <v>8.2884955752059994</v>
      </c>
      <c r="E41" s="16">
        <f>(C41*1.09734513274)+(-3.7)</f>
        <v>5.2982300884679985</v>
      </c>
      <c r="F41" s="17">
        <f>(C41*1.13274336283)+(-0.2)</f>
        <v>9.0884955752060002</v>
      </c>
      <c r="G41" s="17">
        <f>(C41*1.09734513274)+(-2.6)</f>
        <v>6.398230088467999</v>
      </c>
    </row>
    <row r="42" spans="1:7" ht="19.95" customHeight="1" x14ac:dyDescent="0.25">
      <c r="A42" s="13" t="str">
        <f>"1000974"</f>
        <v>1000974</v>
      </c>
      <c r="B42" s="75" t="s">
        <v>43</v>
      </c>
      <c r="C42" s="13" t="str">
        <f>"9.4"</f>
        <v>9.4</v>
      </c>
      <c r="D42" s="15">
        <f>(C42*1.13274336283)+(-1)</f>
        <v>9.647787610602002</v>
      </c>
      <c r="E42" s="16">
        <f>(C42*1.09734513274)+(-3.7)</f>
        <v>6.615044247755999</v>
      </c>
      <c r="F42" s="17">
        <f>(C42*1.13274336283)+(-0.2)</f>
        <v>10.447787610602003</v>
      </c>
      <c r="G42" s="17">
        <f>(C42*1.09734513274)+(-2.6)</f>
        <v>7.7150442477559995</v>
      </c>
    </row>
    <row r="43" spans="1:7" ht="19.95" customHeight="1" x14ac:dyDescent="0.25">
      <c r="A43" s="13" t="str">
        <f>"50940"</f>
        <v>50940</v>
      </c>
      <c r="B43" s="75" t="s">
        <v>44</v>
      </c>
      <c r="C43" s="13" t="str">
        <f>"27.7"</f>
        <v>27.7</v>
      </c>
      <c r="D43" s="15">
        <f>(C43*1.13274336283)+(-1)</f>
        <v>30.376991150391003</v>
      </c>
      <c r="E43" s="16">
        <f>(C43*1.09734513274)+(-3.7)</f>
        <v>26.696460176897997</v>
      </c>
      <c r="F43" s="17">
        <f>(C43*1.13274336283)+(-0.2)</f>
        <v>31.176991150391004</v>
      </c>
      <c r="G43" s="17">
        <f>(C43*1.09734513274)+(-2.6)</f>
        <v>27.796460176897995</v>
      </c>
    </row>
    <row r="44" spans="1:7" ht="19.95" customHeight="1" x14ac:dyDescent="0.25">
      <c r="A44" s="13" t="str">
        <f>"68705"</f>
        <v>68705</v>
      </c>
      <c r="B44" s="75" t="s">
        <v>45</v>
      </c>
      <c r="C44" s="13" t="str">
        <f>"24.4"</f>
        <v>24.4</v>
      </c>
      <c r="D44" s="15">
        <f>(C44*1.13274336283)+(-1)</f>
        <v>26.638938053052001</v>
      </c>
      <c r="E44" s="16">
        <f>(C44*1.09734513274)+(-3.7)</f>
        <v>23.075221238855995</v>
      </c>
      <c r="F44" s="17">
        <f>(C44*1.13274336283)+(-0.2)</f>
        <v>27.438938053052002</v>
      </c>
      <c r="G44" s="17">
        <f>(C44*1.09734513274)+(-2.6)</f>
        <v>24.175221238855993</v>
      </c>
    </row>
    <row r="45" spans="1:7" ht="19.95" customHeight="1" x14ac:dyDescent="0.25">
      <c r="A45" s="13" t="str">
        <f>"77288"</f>
        <v>77288</v>
      </c>
      <c r="B45" s="75" t="s">
        <v>46</v>
      </c>
      <c r="C45" s="13" t="str">
        <f>"18.8"</f>
        <v>18.8</v>
      </c>
      <c r="D45" s="15">
        <f>(C45*1.13274336283)+(-1)</f>
        <v>20.295575221204004</v>
      </c>
      <c r="E45" s="16">
        <f>(C45*1.09734513274)+(-3.7)</f>
        <v>16.930088495511999</v>
      </c>
      <c r="F45" s="17">
        <f>(C45*1.13274336283)+(-0.2)</f>
        <v>21.095575221204005</v>
      </c>
      <c r="G45" s="17">
        <f>(C45*1.09734513274)+(-2.6)</f>
        <v>18.030088495511997</v>
      </c>
    </row>
    <row r="46" spans="1:7" ht="19.95" customHeight="1" x14ac:dyDescent="0.25">
      <c r="A46" s="13" t="str">
        <f>"45005"</f>
        <v>45005</v>
      </c>
      <c r="B46" s="75" t="s">
        <v>47</v>
      </c>
      <c r="C46" s="13" t="str">
        <f>"18.1"</f>
        <v>18.1</v>
      </c>
      <c r="D46" s="15">
        <f>(C46*1.13274336283)+(-1)</f>
        <v>19.502654867223004</v>
      </c>
      <c r="E46" s="16">
        <f>(C46*1.09734513274)+(-3.7)</f>
        <v>16.161946902594</v>
      </c>
      <c r="F46" s="17">
        <f>(C46*1.13274336283)+(-0.2)</f>
        <v>20.302654867223005</v>
      </c>
      <c r="G46" s="17">
        <f>(C46*1.09734513274)+(-2.6)</f>
        <v>17.261946902593998</v>
      </c>
    </row>
    <row r="47" spans="1:7" ht="19.95" customHeight="1" x14ac:dyDescent="0.25">
      <c r="A47" s="13" t="str">
        <f>"75856"</f>
        <v>75856</v>
      </c>
      <c r="B47" s="75" t="s">
        <v>48</v>
      </c>
      <c r="C47" s="13" t="str">
        <f>"27.6"</f>
        <v>27.6</v>
      </c>
      <c r="D47" s="15">
        <f>(C47*1.13274336283)+(-1)</f>
        <v>30.263716814108005</v>
      </c>
      <c r="E47" s="16">
        <f>(C47*1.09734513274)+(-3.7)</f>
        <v>26.586725663623998</v>
      </c>
      <c r="F47" s="17">
        <f>(C47*1.13274336283)+(-0.2)</f>
        <v>31.063716814108005</v>
      </c>
      <c r="G47" s="17">
        <f>(C47*1.09734513274)+(-2.6)</f>
        <v>27.686725663623996</v>
      </c>
    </row>
    <row r="48" spans="1:7" ht="19.95" customHeight="1" x14ac:dyDescent="0.25">
      <c r="A48" s="13" t="str">
        <f>"1002110"</f>
        <v>1002110</v>
      </c>
      <c r="B48" s="75" t="s">
        <v>49</v>
      </c>
      <c r="C48" s="13" t="str">
        <f>"33.4"</f>
        <v>33.4</v>
      </c>
      <c r="D48" s="15">
        <f>(C48*1.13274336283)+(-1)</f>
        <v>36.833628318522003</v>
      </c>
      <c r="E48" s="16">
        <f>(C48*1.09734513274)+(-3.7)</f>
        <v>32.951327433515992</v>
      </c>
      <c r="F48" s="17">
        <f>(C48*1.13274336283)+(-0.2)</f>
        <v>37.633628318522</v>
      </c>
      <c r="G48" s="17">
        <f>(C48*1.09734513274)+(-2.6)</f>
        <v>34.051327433515993</v>
      </c>
    </row>
    <row r="49" spans="1:7" ht="19.95" customHeight="1" x14ac:dyDescent="0.25">
      <c r="A49" s="13" t="str">
        <f>"1015914"</f>
        <v>1015914</v>
      </c>
      <c r="B49" s="75" t="s">
        <v>50</v>
      </c>
      <c r="C49" s="13" t="str">
        <f>"31.7"</f>
        <v>31.7</v>
      </c>
      <c r="D49" s="15">
        <f>(C49*1.13274336283)+(-1)</f>
        <v>34.907964601711001</v>
      </c>
      <c r="E49" s="16">
        <f>(C49*1.09734513274)+(-3.7)</f>
        <v>31.085840707857994</v>
      </c>
      <c r="F49" s="17">
        <f>(C49*1.13274336283)+(-0.2)</f>
        <v>35.707964601710998</v>
      </c>
      <c r="G49" s="17">
        <f>(C49*1.09734513274)+(-2.6)</f>
        <v>32.185840707857992</v>
      </c>
    </row>
    <row r="50" spans="1:7" ht="19.95" customHeight="1" x14ac:dyDescent="0.25">
      <c r="A50" s="13" t="str">
        <f>"17461"</f>
        <v>17461</v>
      </c>
      <c r="B50" s="75" t="s">
        <v>51</v>
      </c>
      <c r="C50" s="13" t="str">
        <f>"20.2"</f>
        <v>20.2</v>
      </c>
      <c r="D50" s="15">
        <f>(C50*1.13274336283)+(-1)</f>
        <v>21.881415929166</v>
      </c>
      <c r="E50" s="16">
        <f>(C50*1.09734513274)+(-3.7)</f>
        <v>18.466371681347997</v>
      </c>
      <c r="F50" s="17">
        <f>(C50*1.13274336283)+(-0.2)</f>
        <v>22.681415929166</v>
      </c>
      <c r="G50" s="17">
        <f>(C50*1.09734513274)+(-2.6)</f>
        <v>19.566371681347995</v>
      </c>
    </row>
    <row r="51" spans="1:7" ht="19.95" customHeight="1" x14ac:dyDescent="0.25">
      <c r="A51" s="13" t="str">
        <f>"15141"</f>
        <v>15141</v>
      </c>
      <c r="B51" s="75" t="s">
        <v>52</v>
      </c>
      <c r="C51" s="13" t="str">
        <f>"23.3"</f>
        <v>23.3</v>
      </c>
      <c r="D51" s="15">
        <f>(C51*1.13274336283)+(-1)</f>
        <v>25.392920353939004</v>
      </c>
      <c r="E51" s="16">
        <f>(C51*1.09734513274)+(-3.7)</f>
        <v>21.868141592841997</v>
      </c>
      <c r="F51" s="17">
        <f>(C51*1.13274336283)+(-0.2)</f>
        <v>26.192920353939005</v>
      </c>
      <c r="G51" s="17">
        <f>(C51*1.09734513274)+(-2.6)</f>
        <v>22.968141592841995</v>
      </c>
    </row>
    <row r="52" spans="1:7" ht="19.95" customHeight="1" x14ac:dyDescent="0.25">
      <c r="A52" s="13" t="str">
        <f>"15135"</f>
        <v>15135</v>
      </c>
      <c r="B52" s="75" t="s">
        <v>53</v>
      </c>
      <c r="C52" s="13" t="str">
        <f>"22.2"</f>
        <v>22.2</v>
      </c>
      <c r="D52" s="15">
        <f>(C52*1.13274336283)+(-1)</f>
        <v>24.146902654826</v>
      </c>
      <c r="E52" s="16">
        <f>(C52*1.09734513274)+(-3.7)</f>
        <v>20.661061946827999</v>
      </c>
      <c r="F52" s="17">
        <f>(C52*1.13274336283)+(-0.2)</f>
        <v>24.946902654826001</v>
      </c>
      <c r="G52" s="17">
        <f>(C52*1.09734513274)+(-2.6)</f>
        <v>21.761061946827997</v>
      </c>
    </row>
    <row r="53" spans="1:7" ht="19.95" customHeight="1" x14ac:dyDescent="0.25">
      <c r="A53" s="13" t="str">
        <f>"78096"</f>
        <v>78096</v>
      </c>
      <c r="B53" s="75" t="s">
        <v>54</v>
      </c>
      <c r="C53" s="13" t="str">
        <f>"22.8"</f>
        <v>22.8</v>
      </c>
      <c r="D53" s="15">
        <f>(C53*1.13274336283)+(-1)</f>
        <v>24.826548672524002</v>
      </c>
      <c r="E53" s="16">
        <f>(C53*1.09734513274)+(-3.7)</f>
        <v>21.319469026471999</v>
      </c>
      <c r="F53" s="17">
        <f>(C53*1.13274336283)+(-0.2)</f>
        <v>25.626548672524002</v>
      </c>
      <c r="G53" s="17">
        <f>(C53*1.09734513274)+(-2.6)</f>
        <v>22.419469026471997</v>
      </c>
    </row>
    <row r="54" spans="1:7" ht="19.95" customHeight="1" x14ac:dyDescent="0.25">
      <c r="A54" s="13" t="str">
        <f>"24439"</f>
        <v>24439</v>
      </c>
      <c r="B54" s="75" t="s">
        <v>55</v>
      </c>
      <c r="C54" s="13" t="str">
        <f>"28.3"</f>
        <v>28.3</v>
      </c>
      <c r="D54" s="15">
        <f>(C54*1.13274336283)+(-1)</f>
        <v>31.056637168089004</v>
      </c>
      <c r="E54" s="16">
        <f>(C54*1.09734513274)+(-3.7)</f>
        <v>27.354867256541997</v>
      </c>
      <c r="F54" s="17">
        <f>(C54*1.13274336283)+(-0.2)</f>
        <v>31.856637168089005</v>
      </c>
      <c r="G54" s="17">
        <f>(C54*1.09734513274)+(-2.6)</f>
        <v>28.454867256541995</v>
      </c>
    </row>
    <row r="55" spans="1:7" ht="19.95" customHeight="1" x14ac:dyDescent="0.25">
      <c r="A55" s="13" t="str">
        <f>"72753"</f>
        <v>72753</v>
      </c>
      <c r="B55" s="75" t="s">
        <v>56</v>
      </c>
      <c r="C55" s="13" t="str">
        <f>"31.8"</f>
        <v>31.8</v>
      </c>
      <c r="D55" s="15">
        <f>(C55*1.13274336283)+(-1)</f>
        <v>35.021238937994006</v>
      </c>
      <c r="E55" s="16">
        <f>(C55*1.09734513274)+(-3.7)</f>
        <v>31.195575221132</v>
      </c>
      <c r="F55" s="17">
        <f>(C55*1.13274336283)+(-0.2)</f>
        <v>35.821238937994003</v>
      </c>
      <c r="G55" s="17">
        <f>(C55*1.09734513274)+(-2.6)</f>
        <v>32.295575221131998</v>
      </c>
    </row>
    <row r="56" spans="1:7" ht="19.95" customHeight="1" x14ac:dyDescent="0.25">
      <c r="A56" s="13" t="str">
        <f>"81347"</f>
        <v>81347</v>
      </c>
      <c r="B56" s="75" t="s">
        <v>57</v>
      </c>
      <c r="C56" s="13" t="str">
        <f>"19.5"</f>
        <v>19.5</v>
      </c>
      <c r="D56" s="15">
        <f>(C56*1.13274336283)+(-1)</f>
        <v>21.088495575185004</v>
      </c>
      <c r="E56" s="16">
        <f>(C56*1.09734513274)+(-3.7)</f>
        <v>17.698230088429998</v>
      </c>
      <c r="F56" s="17">
        <f>(C56*1.13274336283)+(-0.2)</f>
        <v>21.888495575185004</v>
      </c>
      <c r="G56" s="17">
        <f>(C56*1.09734513274)+(-2.6)</f>
        <v>18.798230088429996</v>
      </c>
    </row>
    <row r="57" spans="1:7" ht="19.95" customHeight="1" x14ac:dyDescent="0.25">
      <c r="A57" s="13" t="str">
        <f>"1006810"</f>
        <v>1006810</v>
      </c>
      <c r="B57" s="75" t="s">
        <v>58</v>
      </c>
      <c r="C57" s="13" t="str">
        <f>"23.2"</f>
        <v>23.2</v>
      </c>
      <c r="D57" s="15">
        <f>(C57*1.13274336283)+(-1)</f>
        <v>25.279646017656002</v>
      </c>
      <c r="E57" s="16">
        <f>(C57*1.09734513274)+(-3.7)</f>
        <v>21.758407079567998</v>
      </c>
      <c r="F57" s="17">
        <f>(C57*1.13274336283)+(-0.2)</f>
        <v>26.079646017656003</v>
      </c>
      <c r="G57" s="17">
        <f>(C57*1.09734513274)+(-2.6)</f>
        <v>22.858407079567996</v>
      </c>
    </row>
    <row r="58" spans="1:7" ht="19.95" customHeight="1" x14ac:dyDescent="0.25">
      <c r="A58" s="13" t="str">
        <f>"1005817"</f>
        <v>1005817</v>
      </c>
      <c r="B58" s="75" t="s">
        <v>59</v>
      </c>
      <c r="C58" s="13" t="str">
        <f>"21.4"</f>
        <v>21.4</v>
      </c>
      <c r="D58" s="15">
        <f>(C58*1.13274336283)+(-1)</f>
        <v>23.240707964562002</v>
      </c>
      <c r="E58" s="16">
        <f>(C58*1.09734513274)+(-3.7)</f>
        <v>19.783185840635998</v>
      </c>
      <c r="F58" s="17">
        <f>(C58*1.13274336283)+(-0.2)</f>
        <v>24.040707964562003</v>
      </c>
      <c r="G58" s="17">
        <f>(C58*1.09734513274)+(-2.6)</f>
        <v>20.883185840635996</v>
      </c>
    </row>
    <row r="59" spans="1:7" ht="19.95" customHeight="1" x14ac:dyDescent="0.25">
      <c r="A59" s="13" t="str">
        <f>"67027"</f>
        <v>67027</v>
      </c>
      <c r="B59" s="75" t="s">
        <v>60</v>
      </c>
      <c r="C59" s="13" t="str">
        <f>"15.1"</f>
        <v>15.1</v>
      </c>
      <c r="D59" s="15">
        <f>(C59*1.13274336283)+(-1)</f>
        <v>16.104424778733001</v>
      </c>
      <c r="E59" s="16">
        <f>(C59*1.09734513274)+(-3.7)</f>
        <v>12.869911504373999</v>
      </c>
      <c r="F59" s="17">
        <f>(C59*1.13274336283)+(-0.2)</f>
        <v>16.904424778733002</v>
      </c>
      <c r="G59" s="17">
        <f>(C59*1.09734513274)+(-2.6)</f>
        <v>13.969911504373998</v>
      </c>
    </row>
    <row r="60" spans="1:7" ht="19.95" customHeight="1" x14ac:dyDescent="0.25">
      <c r="A60" s="13" t="str">
        <f>"4341"</f>
        <v>4341</v>
      </c>
      <c r="B60" s="75" t="s">
        <v>61</v>
      </c>
      <c r="C60" s="13" t="str">
        <f>"16.9"</f>
        <v>16.9</v>
      </c>
      <c r="D60" s="15">
        <f>(C60*1.13274336283)+(-1)</f>
        <v>18.143362831827002</v>
      </c>
      <c r="E60" s="16">
        <f>(C60*1.09734513274)+(-3.7)</f>
        <v>14.845132743305996</v>
      </c>
      <c r="F60" s="17">
        <f>(C60*1.13274336283)+(-0.2)</f>
        <v>18.943362831827002</v>
      </c>
      <c r="G60" s="17">
        <f>(C60*1.09734513274)+(-2.6)</f>
        <v>15.945132743305996</v>
      </c>
    </row>
    <row r="61" spans="1:7" ht="19.95" customHeight="1" x14ac:dyDescent="0.25">
      <c r="A61" s="13" t="str">
        <f>"11938"</f>
        <v>11938</v>
      </c>
      <c r="B61" s="75" t="s">
        <v>62</v>
      </c>
      <c r="C61" s="13" t="str">
        <f>"30.6"</f>
        <v>30.6</v>
      </c>
      <c r="D61" s="15">
        <f>(C61*1.13274336283)+(-1)</f>
        <v>33.661946902598004</v>
      </c>
      <c r="E61" s="16">
        <f>(C61*1.09734513274)+(-3.7)</f>
        <v>29.878761061843999</v>
      </c>
      <c r="F61" s="17">
        <f>(C61*1.13274336283)+(-0.2)</f>
        <v>34.461946902598001</v>
      </c>
      <c r="G61" s="17">
        <f>(C61*1.09734513274)+(-2.6)</f>
        <v>30.978761061843997</v>
      </c>
    </row>
    <row r="62" spans="1:7" ht="19.95" customHeight="1" x14ac:dyDescent="0.25">
      <c r="A62" s="13" t="str">
        <f>"1002176"</f>
        <v>1002176</v>
      </c>
      <c r="B62" s="75" t="s">
        <v>63</v>
      </c>
      <c r="C62" s="13" t="str">
        <f>"25.4000"</f>
        <v>25.4000</v>
      </c>
      <c r="D62" s="15">
        <f>(C62*1.13274336283)+(-1)</f>
        <v>27.771681415882</v>
      </c>
      <c r="E62" s="16">
        <f>(C62*1.09734513274)+(-3.7)</f>
        <v>24.172566371595998</v>
      </c>
      <c r="F62" s="17">
        <f>(C62*1.13274336283)+(-0.2)</f>
        <v>28.571681415882001</v>
      </c>
      <c r="G62" s="17">
        <f>(C62*1.09734513274)+(-2.6)</f>
        <v>25.272566371595996</v>
      </c>
    </row>
    <row r="63" spans="1:7" ht="19.95" customHeight="1" x14ac:dyDescent="0.25">
      <c r="A63" s="13" t="str">
        <f>"1009442"</f>
        <v>1009442</v>
      </c>
      <c r="B63" s="75" t="s">
        <v>64</v>
      </c>
      <c r="C63" s="13" t="str">
        <f>"29.5"</f>
        <v>29.5</v>
      </c>
      <c r="D63" s="15">
        <f>(C63*1.13274336283)+(-1)</f>
        <v>32.415929203485</v>
      </c>
      <c r="E63" s="16">
        <f>(C63*1.09734513274)+(-3.7)</f>
        <v>28.671681415829998</v>
      </c>
      <c r="F63" s="17">
        <f>(C63*1.13274336283)+(-0.2)</f>
        <v>33.215929203484997</v>
      </c>
      <c r="G63" s="17">
        <f>(C63*1.09734513274)+(-2.6)</f>
        <v>29.771681415829995</v>
      </c>
    </row>
    <row r="64" spans="1:7" ht="19.95" customHeight="1" x14ac:dyDescent="0.25">
      <c r="A64" s="13" t="str">
        <f>"79536"</f>
        <v>79536</v>
      </c>
      <c r="B64" s="75" t="s">
        <v>65</v>
      </c>
      <c r="C64" s="13" t="str">
        <f>"28.7"</f>
        <v>28.7</v>
      </c>
      <c r="D64" s="15">
        <f>(C64*1.13274336283)+(-1)</f>
        <v>31.509734513221005</v>
      </c>
      <c r="E64" s="16">
        <f>(C64*1.09734513274)+(-3.7)</f>
        <v>27.793805309637996</v>
      </c>
      <c r="F64" s="17">
        <f>(C64*1.13274336283)+(-0.2)</f>
        <v>32.309734513221002</v>
      </c>
      <c r="G64" s="17">
        <f>(C64*1.09734513274)+(-2.6)</f>
        <v>28.893805309637994</v>
      </c>
    </row>
    <row r="65" spans="1:7" ht="19.95" customHeight="1" x14ac:dyDescent="0.25">
      <c r="A65" s="13" t="str">
        <f>"78174"</f>
        <v>78174</v>
      </c>
      <c r="B65" s="75" t="s">
        <v>66</v>
      </c>
      <c r="C65" s="13" t="str">
        <f>"24.7"</f>
        <v>24.7</v>
      </c>
      <c r="D65" s="15">
        <f>(C65*1.13274336283)+(-1)</f>
        <v>26.978761061901</v>
      </c>
      <c r="E65" s="16">
        <f>(C65*1.09734513274)+(-3.7)</f>
        <v>23.404424778677999</v>
      </c>
      <c r="F65" s="17">
        <f>(C65*1.13274336283)+(-0.2)</f>
        <v>27.778761061901001</v>
      </c>
      <c r="G65" s="17">
        <f>(C65*1.09734513274)+(-2.6)</f>
        <v>24.504424778677997</v>
      </c>
    </row>
    <row r="66" spans="1:7" ht="19.95" customHeight="1" x14ac:dyDescent="0.25">
      <c r="A66" s="13" t="str">
        <f>"17470"</f>
        <v>17470</v>
      </c>
      <c r="B66" s="75" t="s">
        <v>67</v>
      </c>
      <c r="C66" s="13" t="str">
        <f>"28.8"</f>
        <v>28.8</v>
      </c>
      <c r="D66" s="15">
        <f>(C66*1.13274336283)+(-1)</f>
        <v>31.623008849504004</v>
      </c>
      <c r="E66" s="16">
        <f>(C66*1.09734513274)+(-3.7)</f>
        <v>27.903539822911998</v>
      </c>
      <c r="F66" s="17">
        <f>(C66*1.13274336283)+(-0.2)</f>
        <v>32.423008849504001</v>
      </c>
      <c r="G66" s="17">
        <f>(C66*1.09734513274)+(-2.6)</f>
        <v>29.003539822911996</v>
      </c>
    </row>
    <row r="67" spans="1:7" ht="19.95" customHeight="1" x14ac:dyDescent="0.25">
      <c r="A67" s="13" t="str">
        <f>"1005276"</f>
        <v>1005276</v>
      </c>
      <c r="B67" s="75" t="s">
        <v>68</v>
      </c>
      <c r="C67" s="13" t="str">
        <f>"32.7"</f>
        <v>32.7</v>
      </c>
      <c r="D67" s="15">
        <f>(C67*1.13274336283)+(-1)</f>
        <v>36.040707964541006</v>
      </c>
      <c r="E67" s="16">
        <f>(C67*1.09734513274)+(-3.7)</f>
        <v>32.183185840598</v>
      </c>
      <c r="F67" s="17">
        <f>(C67*1.13274336283)+(-0.2)</f>
        <v>36.840707964541004</v>
      </c>
      <c r="G67" s="17">
        <f>(C67*1.09734513274)+(-2.6)</f>
        <v>33.283185840598001</v>
      </c>
    </row>
    <row r="68" spans="1:7" ht="19.95" customHeight="1" x14ac:dyDescent="0.25">
      <c r="A68" s="13" t="str">
        <f>"74118"</f>
        <v>74118</v>
      </c>
      <c r="B68" s="75" t="s">
        <v>69</v>
      </c>
      <c r="C68" s="13" t="str">
        <f>"17.6"</f>
        <v>17.6</v>
      </c>
      <c r="D68" s="15">
        <f>(C68*1.13274336283)+(-1)</f>
        <v>18.936283185808005</v>
      </c>
      <c r="E68" s="16">
        <f>(C68*1.09734513274)+(-3.7)</f>
        <v>15.613274336224002</v>
      </c>
      <c r="F68" s="17">
        <f>(C68*1.13274336283)+(-0.2)</f>
        <v>19.736283185808006</v>
      </c>
      <c r="G68" s="17">
        <f>(C68*1.09734513274)+(-2.6)</f>
        <v>16.713274336224</v>
      </c>
    </row>
    <row r="69" spans="1:7" ht="19.95" customHeight="1" x14ac:dyDescent="0.25">
      <c r="A69" s="13" t="str">
        <f>"74470"</f>
        <v>74470</v>
      </c>
      <c r="B69" s="75" t="s">
        <v>70</v>
      </c>
      <c r="C69" s="13" t="str">
        <f>"17.9"</f>
        <v>17.9</v>
      </c>
      <c r="D69" s="15">
        <f>(C69*1.13274336283)+(-1)</f>
        <v>19.276106194657</v>
      </c>
      <c r="E69" s="16">
        <f>(C69*1.09734513274)+(-3.7)</f>
        <v>15.942477876045999</v>
      </c>
      <c r="F69" s="17">
        <f>(C69*1.13274336283)+(-0.2)</f>
        <v>20.076106194657001</v>
      </c>
      <c r="G69" s="17">
        <f>(C69*1.09734513274)+(-2.6)</f>
        <v>17.042477876045997</v>
      </c>
    </row>
    <row r="70" spans="1:7" ht="19.95" customHeight="1" x14ac:dyDescent="0.25">
      <c r="A70" s="13" t="str">
        <f>"17475"</f>
        <v>17475</v>
      </c>
      <c r="B70" s="75" t="s">
        <v>71</v>
      </c>
      <c r="C70" s="13" t="str">
        <f>"35.7"</f>
        <v>35.7</v>
      </c>
      <c r="D70" s="15">
        <f>(C70*1.13274336283)+(-1)</f>
        <v>39.438938053031009</v>
      </c>
      <c r="E70" s="16">
        <f>(C70*1.09734513274)+(-3.7)</f>
        <v>35.475221238817994</v>
      </c>
      <c r="F70" s="17">
        <f>(C70*1.13274336283)+(-0.2)</f>
        <v>40.238938053031006</v>
      </c>
      <c r="G70" s="17">
        <f>(C70*1.09734513274)+(-2.6)</f>
        <v>36.575221238817996</v>
      </c>
    </row>
    <row r="71" spans="1:7" ht="19.95" customHeight="1" x14ac:dyDescent="0.25">
      <c r="A71" s="13" t="str">
        <f>"73674"</f>
        <v>73674</v>
      </c>
      <c r="B71" s="75" t="s">
        <v>72</v>
      </c>
      <c r="C71" s="13" t="str">
        <f>"20.9"</f>
        <v>20.9</v>
      </c>
      <c r="D71" s="15">
        <f>(C71*1.13274336283)+(-1)</f>
        <v>22.674336283146999</v>
      </c>
      <c r="E71" s="16">
        <f>(C71*1.09734513274)+(-3.7)</f>
        <v>19.234513274265996</v>
      </c>
      <c r="F71" s="17">
        <f>(C71*1.13274336283)+(-0.2)</f>
        <v>23.474336283147</v>
      </c>
      <c r="G71" s="17">
        <f>(C71*1.09734513274)+(-2.6)</f>
        <v>20.334513274265994</v>
      </c>
    </row>
    <row r="72" spans="1:7" ht="19.95" customHeight="1" x14ac:dyDescent="0.25">
      <c r="A72" s="13" t="str">
        <f>"1005931"</f>
        <v>1005931</v>
      </c>
      <c r="B72" s="75" t="s">
        <v>73</v>
      </c>
      <c r="C72" s="13" t="str">
        <f>"35.8"</f>
        <v>35.8</v>
      </c>
      <c r="D72" s="15">
        <f>(C72*1.13274336283)+(-1)</f>
        <v>39.552212389314001</v>
      </c>
      <c r="E72" s="16">
        <f>(C72*1.09734513274)+(-3.7)</f>
        <v>35.584955752091993</v>
      </c>
      <c r="F72" s="17">
        <f>(C72*1.13274336283)+(-0.2)</f>
        <v>40.352212389313998</v>
      </c>
      <c r="G72" s="17">
        <f>(C72*1.09734513274)+(-2.6)</f>
        <v>36.684955752091994</v>
      </c>
    </row>
    <row r="73" spans="1:7" ht="19.95" customHeight="1" x14ac:dyDescent="0.25">
      <c r="A73" s="13" t="str">
        <f>"75637"</f>
        <v>75637</v>
      </c>
      <c r="B73" s="75" t="s">
        <v>74</v>
      </c>
      <c r="C73" s="13" t="str">
        <f>"21.2"</f>
        <v>21.2</v>
      </c>
      <c r="D73" s="15">
        <f>(C73*1.13274336283)+(-1)</f>
        <v>23.014159291996002</v>
      </c>
      <c r="E73" s="16">
        <f>(C73*1.09734513274)+(-3.7)</f>
        <v>19.563716814087996</v>
      </c>
      <c r="F73" s="17">
        <f>(C73*1.13274336283)+(-0.2)</f>
        <v>23.814159291996003</v>
      </c>
      <c r="G73" s="17">
        <f>(C73*1.09734513274)+(-2.6)</f>
        <v>20.663716814087994</v>
      </c>
    </row>
    <row r="74" spans="1:7" ht="19.95" customHeight="1" x14ac:dyDescent="0.25">
      <c r="A74" s="13" t="str">
        <f>"1017459"</f>
        <v>1017459</v>
      </c>
      <c r="B74" s="75" t="s">
        <v>75</v>
      </c>
      <c r="C74" s="13" t="s">
        <v>76</v>
      </c>
      <c r="D74" s="15" t="s">
        <v>77</v>
      </c>
      <c r="E74" s="16" t="s">
        <v>77</v>
      </c>
      <c r="F74" s="17" t="s">
        <v>77</v>
      </c>
      <c r="G74" s="17" t="s">
        <v>77</v>
      </c>
    </row>
    <row r="75" spans="1:7" ht="19.95" customHeight="1" x14ac:dyDescent="0.25">
      <c r="A75" s="13" t="str">
        <f>"1016380"</f>
        <v>1016380</v>
      </c>
      <c r="B75" s="75" t="s">
        <v>78</v>
      </c>
      <c r="C75" s="13" t="s">
        <v>76</v>
      </c>
      <c r="D75" s="15" t="s">
        <v>77</v>
      </c>
      <c r="E75" s="16" t="s">
        <v>77</v>
      </c>
      <c r="F75" s="17" t="s">
        <v>77</v>
      </c>
      <c r="G75" s="17" t="s">
        <v>77</v>
      </c>
    </row>
    <row r="76" spans="1:7" ht="19.95" customHeight="1" x14ac:dyDescent="0.25">
      <c r="A76" s="13" t="str">
        <f>"1016556"</f>
        <v>1016556</v>
      </c>
      <c r="B76" s="75" t="s">
        <v>79</v>
      </c>
      <c r="C76" s="13" t="s">
        <v>76</v>
      </c>
      <c r="D76" s="15" t="s">
        <v>77</v>
      </c>
      <c r="E76" s="16" t="s">
        <v>77</v>
      </c>
      <c r="F76" s="17" t="s">
        <v>77</v>
      </c>
      <c r="G76" s="17" t="s">
        <v>77</v>
      </c>
    </row>
    <row r="77" spans="1:7" ht="19.95" customHeight="1" x14ac:dyDescent="0.25">
      <c r="A77" s="13" t="str">
        <f>"1001411"</f>
        <v>1001411</v>
      </c>
      <c r="B77" s="75" t="s">
        <v>80</v>
      </c>
      <c r="C77" s="13" t="str">
        <f>"3.4"</f>
        <v>3.4</v>
      </c>
      <c r="D77" s="15">
        <f>(C77*1.13274336283)+(-1)</f>
        <v>2.851327433622</v>
      </c>
      <c r="E77" s="16">
        <f>(C77*1.09734513274)+(-3.7)</f>
        <v>3.0973451315999156E-2</v>
      </c>
      <c r="F77" s="17">
        <f>(C77*1.13274336283)+(-0.2)</f>
        <v>3.6513274336219999</v>
      </c>
      <c r="G77" s="17">
        <f>(C77*1.09734513274)+(-2.6)</f>
        <v>1.1309734513159992</v>
      </c>
    </row>
    <row r="78" spans="1:7" ht="19.95" customHeight="1" x14ac:dyDescent="0.25">
      <c r="A78" s="13" t="str">
        <f>"76076"</f>
        <v>76076</v>
      </c>
      <c r="B78" s="75" t="s">
        <v>81</v>
      </c>
      <c r="C78" s="13" t="str">
        <f>"28.9"</f>
        <v>28.9</v>
      </c>
      <c r="D78" s="15">
        <f>(C78*1.13274336283)+(-1)</f>
        <v>31.736283185787002</v>
      </c>
      <c r="E78" s="16">
        <f>(C78*1.09734513274)+(-3.7)</f>
        <v>28.013274336185997</v>
      </c>
      <c r="F78" s="17">
        <f>(C78*1.13274336283)+(-0.2)</f>
        <v>32.536283185786999</v>
      </c>
      <c r="G78" s="17">
        <f>(C78*1.09734513274)+(-2.6)</f>
        <v>29.113274336185995</v>
      </c>
    </row>
    <row r="79" spans="1:7" ht="19.95" customHeight="1" x14ac:dyDescent="0.25">
      <c r="A79" s="13" t="str">
        <f>"17484"</f>
        <v>17484</v>
      </c>
      <c r="B79" s="75" t="s">
        <v>82</v>
      </c>
      <c r="C79" s="13" t="str">
        <f>"34.9"</f>
        <v>34.9</v>
      </c>
      <c r="D79" s="15">
        <f>(C79*1.13274336283)+(-1)</f>
        <v>38.532743362767</v>
      </c>
      <c r="E79" s="16">
        <f>(C79*1.09734513274)+(-3.7)</f>
        <v>34.597345132625989</v>
      </c>
      <c r="F79" s="17">
        <f>(C79*1.13274336283)+(-0.2)</f>
        <v>39.332743362766998</v>
      </c>
      <c r="G79" s="17">
        <f>(C79*1.09734513274)+(-2.6)</f>
        <v>35.697345132625991</v>
      </c>
    </row>
    <row r="80" spans="1:7" ht="19.95" customHeight="1" x14ac:dyDescent="0.25">
      <c r="A80" s="13" t="str">
        <f>"1015202"</f>
        <v>1015202</v>
      </c>
      <c r="B80" s="75" t="s">
        <v>83</v>
      </c>
      <c r="C80" s="13" t="str">
        <f>"34.3"</f>
        <v>34.3</v>
      </c>
      <c r="D80" s="15">
        <f>(C80*1.13274336283)+(-1)</f>
        <v>37.853097345069003</v>
      </c>
      <c r="E80" s="16">
        <f>(C80*1.09734513274)+(-3.7)</f>
        <v>33.938938052981989</v>
      </c>
      <c r="F80" s="17">
        <f>(C80*1.13274336283)+(-0.2)</f>
        <v>38.653097345069</v>
      </c>
      <c r="G80" s="17">
        <f>(C80*1.09734513274)+(-2.6)</f>
        <v>35.03893805298199</v>
      </c>
    </row>
    <row r="81" spans="1:7" ht="19.95" customHeight="1" x14ac:dyDescent="0.25">
      <c r="A81" s="13" t="str">
        <f>"44816"</f>
        <v>44816</v>
      </c>
      <c r="B81" s="75" t="s">
        <v>84</v>
      </c>
      <c r="C81" s="13" t="str">
        <f>"24.8"</f>
        <v>24.8</v>
      </c>
      <c r="D81" s="15">
        <f>(C81*1.13274336283)+(-1)</f>
        <v>27.092035398184002</v>
      </c>
      <c r="E81" s="16">
        <f>(C81*1.09734513274)+(-3.7)</f>
        <v>23.514159291951998</v>
      </c>
      <c r="F81" s="17">
        <f>(C81*1.13274336283)+(-0.2)</f>
        <v>27.892035398184003</v>
      </c>
      <c r="G81" s="17">
        <f>(C81*1.09734513274)+(-2.6)</f>
        <v>24.614159291951996</v>
      </c>
    </row>
    <row r="82" spans="1:7" ht="19.95" customHeight="1" x14ac:dyDescent="0.25">
      <c r="A82" s="13" t="str">
        <f>"5434"</f>
        <v>5434</v>
      </c>
      <c r="B82" s="75" t="s">
        <v>85</v>
      </c>
      <c r="C82" s="13" t="str">
        <f>"33.9"</f>
        <v>33.9</v>
      </c>
      <c r="D82" s="15">
        <f>(C82*1.13274336283)+(-1)</f>
        <v>37.399999999937002</v>
      </c>
      <c r="E82" s="16">
        <f>(C82*1.09734513274)+(-3.7)</f>
        <v>33.499999999885993</v>
      </c>
      <c r="F82" s="17">
        <f>(C82*1.13274336283)+(-0.2)</f>
        <v>38.199999999936999</v>
      </c>
      <c r="G82" s="17">
        <f>(C82*1.09734513274)+(-2.6)</f>
        <v>34.599999999885995</v>
      </c>
    </row>
    <row r="83" spans="1:7" ht="19.95" customHeight="1" x14ac:dyDescent="0.25">
      <c r="A83" s="13" t="str">
        <f>"17488"</f>
        <v>17488</v>
      </c>
      <c r="B83" s="75" t="s">
        <v>86</v>
      </c>
      <c r="C83" s="13" t="str">
        <f>"17.8"</f>
        <v>17.8</v>
      </c>
      <c r="D83" s="15">
        <f>(C83*1.13274336283)+(-1)</f>
        <v>19.162831858374002</v>
      </c>
      <c r="E83" s="16">
        <f>(C83*1.09734513274)+(-3.7)</f>
        <v>15.832743362772</v>
      </c>
      <c r="F83" s="17">
        <f>(C83*1.13274336283)+(-0.2)</f>
        <v>19.962831858374003</v>
      </c>
      <c r="G83" s="17">
        <f>(C83*1.09734513274)+(-2.6)</f>
        <v>16.932743362771998</v>
      </c>
    </row>
    <row r="84" spans="1:7" ht="19.95" customHeight="1" x14ac:dyDescent="0.25">
      <c r="A84" s="13" t="str">
        <f>"21302"</f>
        <v>21302</v>
      </c>
      <c r="B84" s="75" t="s">
        <v>87</v>
      </c>
      <c r="C84" s="13" t="str">
        <f>"33.5"</f>
        <v>33.5</v>
      </c>
      <c r="D84" s="15">
        <f>(C84*1.13274336283)+(-1)</f>
        <v>36.946902654805001</v>
      </c>
      <c r="E84" s="16">
        <f>(C84*1.09734513274)+(-3.7)</f>
        <v>33.061061946789991</v>
      </c>
      <c r="F84" s="17">
        <f>(C84*1.13274336283)+(-0.2)</f>
        <v>37.746902654804998</v>
      </c>
      <c r="G84" s="17">
        <f>(C84*1.09734513274)+(-2.6)</f>
        <v>34.161061946789992</v>
      </c>
    </row>
    <row r="85" spans="1:7" ht="19.95" customHeight="1" x14ac:dyDescent="0.25">
      <c r="A85" s="13" t="str">
        <f>"17492"</f>
        <v>17492</v>
      </c>
      <c r="B85" s="75" t="s">
        <v>88</v>
      </c>
      <c r="C85" s="13" t="str">
        <f>"12.9"</f>
        <v>12.9</v>
      </c>
      <c r="D85" s="15">
        <f>(C85*1.13274336283)+(-1)</f>
        <v>13.612389380507002</v>
      </c>
      <c r="E85" s="16">
        <f>(C85*1.09734513274)+(-3.7)</f>
        <v>10.455752212345999</v>
      </c>
      <c r="F85" s="17">
        <f>(C85*1.13274336283)+(-0.2)</f>
        <v>14.412389380507003</v>
      </c>
      <c r="G85" s="17">
        <f>(C85*1.09734513274)+(-2.6)</f>
        <v>11.555752212345999</v>
      </c>
    </row>
    <row r="86" spans="1:7" ht="19.95" customHeight="1" x14ac:dyDescent="0.25">
      <c r="A86" s="13" t="str">
        <f>"75941"</f>
        <v>75941</v>
      </c>
      <c r="B86" s="75" t="s">
        <v>89</v>
      </c>
      <c r="C86" s="13" t="str">
        <f>"30.3"</f>
        <v>30.3</v>
      </c>
      <c r="D86" s="15">
        <f>(C86*1.13274336283)+(-1)</f>
        <v>33.322123893749001</v>
      </c>
      <c r="E86" s="16">
        <f>(C86*1.09734513274)+(-3.7)</f>
        <v>29.549557522021995</v>
      </c>
      <c r="F86" s="17">
        <f>(C86*1.13274336283)+(-0.2)</f>
        <v>34.122123893748999</v>
      </c>
      <c r="G86" s="17">
        <f>(C86*1.09734513274)+(-2.6)</f>
        <v>30.649557522021993</v>
      </c>
    </row>
    <row r="87" spans="1:7" ht="19.95" customHeight="1" x14ac:dyDescent="0.25">
      <c r="A87" s="13" t="str">
        <f>"1000290"</f>
        <v>1000290</v>
      </c>
      <c r="B87" s="75" t="s">
        <v>90</v>
      </c>
      <c r="C87" s="13" t="str">
        <f>"27.2"</f>
        <v>27.2</v>
      </c>
      <c r="D87" s="15">
        <f>(C87*1.13274336283)+(-1)</f>
        <v>29.810619468976</v>
      </c>
      <c r="E87" s="16">
        <f>(C87*1.09734513274)+(-3.7)</f>
        <v>26.147787610527995</v>
      </c>
      <c r="F87" s="17">
        <f>(C87*1.13274336283)+(-0.2)</f>
        <v>30.610619468976001</v>
      </c>
      <c r="G87" s="17">
        <f>(C87*1.09734513274)+(-2.6)</f>
        <v>27.247787610527993</v>
      </c>
    </row>
    <row r="88" spans="1:7" ht="19.95" customHeight="1" x14ac:dyDescent="0.25">
      <c r="A88" s="13" t="str">
        <f>"66447"</f>
        <v>66447</v>
      </c>
      <c r="B88" s="75" t="s">
        <v>91</v>
      </c>
      <c r="C88" s="13" t="str">
        <f>"36.4"</f>
        <v>36.4</v>
      </c>
      <c r="D88" s="15">
        <f>(C88*1.13274336283)+(-1)</f>
        <v>40.231858407012005</v>
      </c>
      <c r="E88" s="16">
        <f>(C88*1.09734513274)+(-3.7)</f>
        <v>36.243362831735993</v>
      </c>
      <c r="F88" s="17">
        <f>(C88*1.13274336283)+(-0.2)</f>
        <v>41.031858407012002</v>
      </c>
      <c r="G88" s="17">
        <f>(C88*1.09734513274)+(-2.6)</f>
        <v>37.343362831735995</v>
      </c>
    </row>
    <row r="89" spans="1:7" ht="19.95" customHeight="1" x14ac:dyDescent="0.25">
      <c r="A89" s="13" t="str">
        <f>"1011788"</f>
        <v>1011788</v>
      </c>
      <c r="B89" s="75" t="s">
        <v>92</v>
      </c>
      <c r="C89" s="13" t="str">
        <f>"25.0"</f>
        <v>25.0</v>
      </c>
      <c r="D89" s="15">
        <f>(C89*1.13274336283)+(-1)</f>
        <v>27.318584070750003</v>
      </c>
      <c r="E89" s="16">
        <f>(C89*1.09734513274)+(-3.7)</f>
        <v>23.733628318499999</v>
      </c>
      <c r="F89" s="17">
        <f>(C89*1.13274336283)+(-0.2)</f>
        <v>28.118584070750003</v>
      </c>
      <c r="G89" s="17">
        <f>(C89*1.09734513274)+(-2.6)</f>
        <v>24.833628318499997</v>
      </c>
    </row>
    <row r="90" spans="1:7" ht="19.95" customHeight="1" x14ac:dyDescent="0.25">
      <c r="A90" s="13" t="str">
        <f>"37015"</f>
        <v>37015</v>
      </c>
      <c r="B90" s="75" t="s">
        <v>93</v>
      </c>
      <c r="C90" s="13" t="str">
        <f>"40.3"</f>
        <v>40.3</v>
      </c>
      <c r="D90" s="15">
        <f>(C90*1.13274336283)+(-1)</f>
        <v>44.649557522049001</v>
      </c>
      <c r="E90" s="16">
        <f>(C90*1.09734513274)+(-3.7)</f>
        <v>40.523008849421991</v>
      </c>
      <c r="F90" s="17">
        <f>(C90*1.13274336283)+(-0.2)</f>
        <v>45.449557522048998</v>
      </c>
      <c r="G90" s="17">
        <f>(C90*1.09734513274)+(-2.6)</f>
        <v>41.623008849421993</v>
      </c>
    </row>
    <row r="91" spans="1:7" ht="19.95" customHeight="1" x14ac:dyDescent="0.25">
      <c r="A91" s="13" t="str">
        <f>"1011258"</f>
        <v>1011258</v>
      </c>
      <c r="B91" s="75" t="s">
        <v>94</v>
      </c>
      <c r="C91" s="13" t="str">
        <f>"34.9"</f>
        <v>34.9</v>
      </c>
      <c r="D91" s="15">
        <f>(C91*1.13274336283)+(-1)</f>
        <v>38.532743362767</v>
      </c>
      <c r="E91" s="16">
        <f>(C91*1.09734513274)+(-3.7)</f>
        <v>34.597345132625989</v>
      </c>
      <c r="F91" s="17">
        <f>(C91*1.13274336283)+(-0.2)</f>
        <v>39.332743362766998</v>
      </c>
      <c r="G91" s="17">
        <f>(C91*1.09734513274)+(-2.6)</f>
        <v>35.697345132625991</v>
      </c>
    </row>
    <row r="92" spans="1:7" ht="19.95" customHeight="1" x14ac:dyDescent="0.25">
      <c r="A92" s="13" t="str">
        <f>"1000857"</f>
        <v>1000857</v>
      </c>
      <c r="B92" s="75" t="s">
        <v>95</v>
      </c>
      <c r="C92" s="13" t="str">
        <f>"31.8"</f>
        <v>31.8</v>
      </c>
      <c r="D92" s="15">
        <f>(C92*1.13274336283)+(-1)</f>
        <v>35.021238937994006</v>
      </c>
      <c r="E92" s="16">
        <f>(C92*1.09734513274)+(-3.7)</f>
        <v>31.195575221132</v>
      </c>
      <c r="F92" s="17">
        <f>(C92*1.13274336283)+(-0.2)</f>
        <v>35.821238937994003</v>
      </c>
      <c r="G92" s="17">
        <f>(C92*1.09734513274)+(-2.6)</f>
        <v>32.295575221131998</v>
      </c>
    </row>
    <row r="93" spans="1:7" ht="19.95" customHeight="1" x14ac:dyDescent="0.25">
      <c r="A93" s="13" t="str">
        <f>"1000539"</f>
        <v>1000539</v>
      </c>
      <c r="B93" s="75" t="s">
        <v>96</v>
      </c>
      <c r="C93" s="13" t="s">
        <v>76</v>
      </c>
      <c r="D93" s="15" t="s">
        <v>77</v>
      </c>
      <c r="E93" s="16" t="s">
        <v>77</v>
      </c>
      <c r="F93" s="17" t="s">
        <v>77</v>
      </c>
      <c r="G93" s="17" t="s">
        <v>77</v>
      </c>
    </row>
    <row r="94" spans="1:7" ht="19.95" customHeight="1" x14ac:dyDescent="0.25">
      <c r="A94" s="13" t="str">
        <f>"1005238"</f>
        <v>1005238</v>
      </c>
      <c r="B94" s="75" t="s">
        <v>97</v>
      </c>
      <c r="C94" s="13" t="s">
        <v>76</v>
      </c>
      <c r="D94" s="15" t="s">
        <v>77</v>
      </c>
      <c r="E94" s="16" t="s">
        <v>77</v>
      </c>
      <c r="F94" s="17" t="s">
        <v>77</v>
      </c>
      <c r="G94" s="17" t="s">
        <v>77</v>
      </c>
    </row>
    <row r="95" spans="1:7" ht="19.95" customHeight="1" x14ac:dyDescent="0.25">
      <c r="A95" s="13" t="str">
        <f>"1017352"</f>
        <v>1017352</v>
      </c>
      <c r="B95" s="75" t="s">
        <v>98</v>
      </c>
      <c r="C95" s="13" t="s">
        <v>76</v>
      </c>
      <c r="D95" s="15" t="s">
        <v>77</v>
      </c>
      <c r="E95" s="16" t="s">
        <v>77</v>
      </c>
      <c r="F95" s="17" t="s">
        <v>77</v>
      </c>
      <c r="G95" s="17" t="s">
        <v>77</v>
      </c>
    </row>
    <row r="96" spans="1:7" ht="19.95" customHeight="1" x14ac:dyDescent="0.25">
      <c r="A96" s="13" t="str">
        <f>"40571"</f>
        <v>40571</v>
      </c>
      <c r="B96" s="75" t="s">
        <v>99</v>
      </c>
      <c r="C96" s="13" t="str">
        <f>"0.6"</f>
        <v>0.6</v>
      </c>
      <c r="D96" s="15">
        <f>(C96*1.13274336283)+(-1)</f>
        <v>-0.32035398230199996</v>
      </c>
      <c r="E96" s="16">
        <f>(C96*1.09734513274)+(-3.7)</f>
        <v>-3.0415929203560004</v>
      </c>
      <c r="F96" s="17">
        <f>(C96*1.13274336283)+(-0.2)</f>
        <v>0.47964601769800003</v>
      </c>
      <c r="G96" s="17">
        <f>(C96*1.09734513274)+(-2.6)</f>
        <v>-1.9415929203560003</v>
      </c>
    </row>
    <row r="97" spans="1:7" ht="19.95" customHeight="1" x14ac:dyDescent="0.25">
      <c r="A97" s="13" t="str">
        <f>"20625"</f>
        <v>20625</v>
      </c>
      <c r="B97" s="75" t="s">
        <v>100</v>
      </c>
      <c r="C97" s="13" t="str">
        <f>"23.4"</f>
        <v>23.4</v>
      </c>
      <c r="D97" s="15">
        <f>(C97*1.13274336283)+(-1)</f>
        <v>25.506194690221999</v>
      </c>
      <c r="E97" s="16">
        <f>(C97*1.09734513274)+(-3.7)</f>
        <v>21.977876106115996</v>
      </c>
      <c r="F97" s="17">
        <f>(C97*1.13274336283)+(-0.2)</f>
        <v>26.306194690222</v>
      </c>
      <c r="G97" s="17">
        <f>(C97*1.09734513274)+(-2.6)</f>
        <v>23.077876106115994</v>
      </c>
    </row>
    <row r="98" spans="1:7" ht="19.95" customHeight="1" x14ac:dyDescent="0.25">
      <c r="A98" s="13" t="str">
        <f>"1010279"</f>
        <v>1010279</v>
      </c>
      <c r="B98" s="75" t="s">
        <v>101</v>
      </c>
      <c r="C98" s="13" t="str">
        <f>"30.4"</f>
        <v>30.4</v>
      </c>
      <c r="D98" s="15">
        <f>(C98*1.13274336283)+(-1)</f>
        <v>33.435398230032</v>
      </c>
      <c r="E98" s="16">
        <f>(C98*1.09734513274)+(-3.7)</f>
        <v>29.659292035295994</v>
      </c>
      <c r="F98" s="17">
        <f>(C98*1.13274336283)+(-0.2)</f>
        <v>34.235398230031997</v>
      </c>
      <c r="G98" s="17">
        <f>(C98*1.09734513274)+(-2.6)</f>
        <v>30.759292035295992</v>
      </c>
    </row>
    <row r="99" spans="1:7" ht="19.95" customHeight="1" x14ac:dyDescent="0.25">
      <c r="A99" s="13" t="str">
        <f>"66833"</f>
        <v>66833</v>
      </c>
      <c r="B99" s="75" t="s">
        <v>102</v>
      </c>
      <c r="C99" s="13" t="str">
        <f>"26.2"</f>
        <v>26.2</v>
      </c>
      <c r="D99" s="15">
        <f>(C99*1.13274336283)+(-1)</f>
        <v>28.677876106146002</v>
      </c>
      <c r="E99" s="16">
        <f>(C99*1.09734513274)+(-3.7)</f>
        <v>25.050442477787996</v>
      </c>
      <c r="F99" s="17">
        <f>(C99*1.13274336283)+(-0.2)</f>
        <v>29.477876106146002</v>
      </c>
      <c r="G99" s="17">
        <f>(C99*1.09734513274)+(-2.6)</f>
        <v>26.150442477787994</v>
      </c>
    </row>
    <row r="100" spans="1:7" ht="19.95" customHeight="1" x14ac:dyDescent="0.25">
      <c r="A100" s="13" t="str">
        <f>"71654"</f>
        <v>71654</v>
      </c>
      <c r="B100" s="75" t="s">
        <v>103</v>
      </c>
      <c r="C100" s="13" t="str">
        <f>"26.2"</f>
        <v>26.2</v>
      </c>
      <c r="D100" s="15">
        <f>(C100*1.13274336283)+(-1)</f>
        <v>28.677876106146002</v>
      </c>
      <c r="E100" s="16">
        <f>(C100*1.09734513274)+(-3.7)</f>
        <v>25.050442477787996</v>
      </c>
      <c r="F100" s="17">
        <f>(C100*1.13274336283)+(-0.2)</f>
        <v>29.477876106146002</v>
      </c>
      <c r="G100" s="17">
        <f>(C100*1.09734513274)+(-2.6)</f>
        <v>26.150442477787994</v>
      </c>
    </row>
    <row r="101" spans="1:7" ht="19.95" customHeight="1" x14ac:dyDescent="0.25">
      <c r="A101" s="13" t="str">
        <f>"7450"</f>
        <v>7450</v>
      </c>
      <c r="B101" s="75" t="s">
        <v>104</v>
      </c>
      <c r="C101" s="13" t="str">
        <f>"28.3"</f>
        <v>28.3</v>
      </c>
      <c r="D101" s="15">
        <f>(C101*1.13274336283)+(-1)</f>
        <v>31.056637168089004</v>
      </c>
      <c r="E101" s="16">
        <f>(C101*1.09734513274)+(-3.7)</f>
        <v>27.354867256541997</v>
      </c>
      <c r="F101" s="17">
        <f>(C101*1.13274336283)+(-0.2)</f>
        <v>31.856637168089005</v>
      </c>
      <c r="G101" s="17">
        <f>(C101*1.09734513274)+(-2.6)</f>
        <v>28.454867256541995</v>
      </c>
    </row>
    <row r="102" spans="1:7" ht="19.95" customHeight="1" x14ac:dyDescent="0.25">
      <c r="A102" s="13" t="str">
        <f>"1008813"</f>
        <v>1008813</v>
      </c>
      <c r="B102" s="75" t="s">
        <v>105</v>
      </c>
      <c r="C102" s="13" t="str">
        <f>"14.1"</f>
        <v>14.1</v>
      </c>
      <c r="D102" s="15">
        <f>(C102*1.13274336283)+(-1)</f>
        <v>14.971681415903001</v>
      </c>
      <c r="E102" s="16">
        <f>(C102*1.09734513274)+(-3.7)</f>
        <v>11.772566371633999</v>
      </c>
      <c r="F102" s="17">
        <f>(C102*1.13274336283)+(-0.2)</f>
        <v>15.771681415903002</v>
      </c>
      <c r="G102" s="17">
        <f>(C102*1.09734513274)+(-2.6)</f>
        <v>12.872566371633999</v>
      </c>
    </row>
    <row r="103" spans="1:7" ht="19.95" customHeight="1" x14ac:dyDescent="0.25">
      <c r="A103" s="13" t="str">
        <f>"1015285"</f>
        <v>1015285</v>
      </c>
      <c r="B103" s="75" t="s">
        <v>106</v>
      </c>
      <c r="C103" s="13" t="str">
        <f>"37.1"</f>
        <v>37.1</v>
      </c>
      <c r="D103" s="15">
        <f>(C103*1.13274336283)+(-1)</f>
        <v>41.024778760993009</v>
      </c>
      <c r="E103" s="16">
        <f>(C103*1.09734513274)+(-3.7)</f>
        <v>37.011504424653992</v>
      </c>
      <c r="F103" s="17">
        <f>(C103*1.13274336283)+(-0.2)</f>
        <v>41.824778760993006</v>
      </c>
      <c r="G103" s="17">
        <f>(C103*1.09734513274)+(-2.6)</f>
        <v>38.111504424653994</v>
      </c>
    </row>
    <row r="104" spans="1:7" ht="19.95" customHeight="1" x14ac:dyDescent="0.25">
      <c r="A104" s="13" t="str">
        <f>"1015284"</f>
        <v>1015284</v>
      </c>
      <c r="B104" s="75" t="s">
        <v>107</v>
      </c>
      <c r="C104" s="13" t="str">
        <f>"14.1"</f>
        <v>14.1</v>
      </c>
      <c r="D104" s="15">
        <f>(C104*1.13274336283)+(-1)</f>
        <v>14.971681415903001</v>
      </c>
      <c r="E104" s="16">
        <f>(C104*1.09734513274)+(-3.7)</f>
        <v>11.772566371633999</v>
      </c>
      <c r="F104" s="17">
        <f>(C104*1.13274336283)+(-0.2)</f>
        <v>15.771681415903002</v>
      </c>
      <c r="G104" s="17">
        <f>(C104*1.09734513274)+(-2.6)</f>
        <v>12.872566371633999</v>
      </c>
    </row>
    <row r="105" spans="1:7" ht="19.95" customHeight="1" x14ac:dyDescent="0.25">
      <c r="A105" s="13" t="str">
        <f>"70713"</f>
        <v>70713</v>
      </c>
      <c r="B105" s="75" t="s">
        <v>108</v>
      </c>
      <c r="C105" s="13" t="str">
        <f>"22.6"</f>
        <v>22.6</v>
      </c>
      <c r="D105" s="15">
        <f>(C105*1.13274336283)+(-1)</f>
        <v>24.599999999958005</v>
      </c>
      <c r="E105" s="16">
        <f>(C105*1.09734513274)+(-3.7)</f>
        <v>21.099999999923998</v>
      </c>
      <c r="F105" s="17">
        <f>(C105*1.13274336283)+(-0.2)</f>
        <v>25.399999999958006</v>
      </c>
      <c r="G105" s="17">
        <f>(C105*1.09734513274)+(-2.6)</f>
        <v>22.199999999923996</v>
      </c>
    </row>
    <row r="106" spans="1:7" ht="19.95" customHeight="1" x14ac:dyDescent="0.25">
      <c r="A106" s="13" t="str">
        <f>"17503"</f>
        <v>17503</v>
      </c>
      <c r="B106" s="75" t="s">
        <v>109</v>
      </c>
      <c r="C106" s="13" t="str">
        <f>"18.6"</f>
        <v>18.6</v>
      </c>
      <c r="D106" s="15">
        <f>(C106*1.13274336283)+(-1)</f>
        <v>20.069026548638004</v>
      </c>
      <c r="E106" s="16">
        <f>(C106*1.09734513274)+(-3.7)</f>
        <v>16.710619468964001</v>
      </c>
      <c r="F106" s="17">
        <f>(C106*1.13274336283)+(-0.2)</f>
        <v>20.869026548638004</v>
      </c>
      <c r="G106" s="17">
        <f>(C106*1.09734513274)+(-2.6)</f>
        <v>17.810619468963999</v>
      </c>
    </row>
    <row r="107" spans="1:7" ht="19.95" customHeight="1" x14ac:dyDescent="0.25">
      <c r="A107" s="13" t="str">
        <f>"47545"</f>
        <v>47545</v>
      </c>
      <c r="B107" s="75" t="s">
        <v>110</v>
      </c>
      <c r="C107" s="13" t="str">
        <f>"34.1"</f>
        <v>34.1</v>
      </c>
      <c r="D107" s="15">
        <f>(C107*1.13274336283)+(-1)</f>
        <v>37.626548672503006</v>
      </c>
      <c r="E107" s="16">
        <f>(C107*1.09734513274)+(-3.7)</f>
        <v>33.719469026433998</v>
      </c>
      <c r="F107" s="17">
        <f>(C107*1.13274336283)+(-0.2)</f>
        <v>38.426548672503003</v>
      </c>
      <c r="G107" s="17">
        <f>(C107*1.09734513274)+(-2.6)</f>
        <v>34.819469026434</v>
      </c>
    </row>
    <row r="108" spans="1:7" ht="19.95" customHeight="1" x14ac:dyDescent="0.25">
      <c r="A108" s="13" t="str">
        <f>"1017687"</f>
        <v>1017687</v>
      </c>
      <c r="B108" s="75" t="s">
        <v>1927</v>
      </c>
      <c r="C108" s="13" t="s">
        <v>76</v>
      </c>
      <c r="D108" s="15" t="s">
        <v>77</v>
      </c>
      <c r="E108" s="16" t="s">
        <v>77</v>
      </c>
      <c r="F108" s="17" t="s">
        <v>77</v>
      </c>
      <c r="G108" s="17" t="s">
        <v>77</v>
      </c>
    </row>
    <row r="109" spans="1:7" ht="19.95" customHeight="1" x14ac:dyDescent="0.25">
      <c r="A109" s="13" t="str">
        <f>"1001213"</f>
        <v>1001213</v>
      </c>
      <c r="B109" s="75" t="s">
        <v>111</v>
      </c>
      <c r="C109" s="13" t="str">
        <f>"28.2"</f>
        <v>28.2</v>
      </c>
      <c r="D109" s="15">
        <f>(C109*1.13274336283)+(-1)</f>
        <v>30.943362831806002</v>
      </c>
      <c r="E109" s="16">
        <f>(C109*1.09734513274)+(-3.7)</f>
        <v>27.245132743267998</v>
      </c>
      <c r="F109" s="17">
        <f>(C109*1.13274336283)+(-0.2)</f>
        <v>31.743362831806003</v>
      </c>
      <c r="G109" s="17">
        <f>(C109*1.09734513274)+(-2.6)</f>
        <v>28.345132743267996</v>
      </c>
    </row>
    <row r="110" spans="1:7" ht="19.95" customHeight="1" x14ac:dyDescent="0.25">
      <c r="A110" s="13" t="str">
        <f>"1007718"</f>
        <v>1007718</v>
      </c>
      <c r="B110" s="75" t="s">
        <v>112</v>
      </c>
      <c r="C110" s="13" t="str">
        <f>"29.4"</f>
        <v>29.4</v>
      </c>
      <c r="D110" s="15">
        <f>(C110*1.13274336283)+(-1)</f>
        <v>32.302654867202001</v>
      </c>
      <c r="E110" s="16">
        <f>(C110*1.09734513274)+(-3.7)</f>
        <v>28.561946902555999</v>
      </c>
      <c r="F110" s="17">
        <f>(C110*1.13274336283)+(-0.2)</f>
        <v>33.102654867201998</v>
      </c>
      <c r="G110" s="17">
        <f>(C110*1.09734513274)+(-2.6)</f>
        <v>29.661946902555997</v>
      </c>
    </row>
    <row r="111" spans="1:7" ht="19.95" customHeight="1" x14ac:dyDescent="0.25">
      <c r="A111" s="13" t="str">
        <f>"1017597"</f>
        <v>1017597</v>
      </c>
      <c r="B111" s="75" t="s">
        <v>1928</v>
      </c>
      <c r="C111" s="13" t="str">
        <f>"33.3"</f>
        <v>33.3</v>
      </c>
      <c r="D111" s="15">
        <f>(C111*1.13274336283)+(-1)</f>
        <v>36.720353982238997</v>
      </c>
      <c r="E111" s="16">
        <f>(C111*1.09734513274)+(-3.7)</f>
        <v>32.841592920241993</v>
      </c>
      <c r="F111" s="17">
        <f>(C111*1.13274336283)+(-0.2)</f>
        <v>37.520353982238994</v>
      </c>
      <c r="G111" s="17">
        <f>(C111*1.09734513274)+(-2.6)</f>
        <v>33.941592920241995</v>
      </c>
    </row>
    <row r="112" spans="1:7" ht="19.95" customHeight="1" x14ac:dyDescent="0.25">
      <c r="A112" s="13" t="str">
        <f>"17507"</f>
        <v>17507</v>
      </c>
      <c r="B112" s="75" t="s">
        <v>113</v>
      </c>
      <c r="C112" s="13" t="str">
        <f>"18.2"</f>
        <v>18.2</v>
      </c>
      <c r="D112" s="15">
        <f>(C112*1.13274336283)+(-1)</f>
        <v>19.615929203506003</v>
      </c>
      <c r="E112" s="16">
        <f>(C112*1.09734513274)+(-3.7)</f>
        <v>16.271681415867999</v>
      </c>
      <c r="F112" s="17">
        <f>(C112*1.13274336283)+(-0.2)</f>
        <v>20.415929203506003</v>
      </c>
      <c r="G112" s="17">
        <f>(C112*1.09734513274)+(-2.6)</f>
        <v>17.371681415867997</v>
      </c>
    </row>
    <row r="113" spans="1:7" ht="19.95" customHeight="1" x14ac:dyDescent="0.25">
      <c r="A113" s="13" t="str">
        <f>"77375"</f>
        <v>77375</v>
      </c>
      <c r="B113" s="75" t="s">
        <v>114</v>
      </c>
      <c r="C113" s="13" t="str">
        <f>"17.7"</f>
        <v>17.7</v>
      </c>
      <c r="D113" s="15">
        <f>(C113*1.13274336283)+(-1)</f>
        <v>19.049557522091</v>
      </c>
      <c r="E113" s="16">
        <f>(C113*1.09734513274)+(-3.7)</f>
        <v>15.723008849497997</v>
      </c>
      <c r="F113" s="17">
        <f>(C113*1.13274336283)+(-0.2)</f>
        <v>19.849557522091001</v>
      </c>
      <c r="G113" s="17">
        <f>(C113*1.09734513274)+(-2.6)</f>
        <v>16.823008849497995</v>
      </c>
    </row>
    <row r="114" spans="1:7" ht="19.95" customHeight="1" x14ac:dyDescent="0.25">
      <c r="A114" s="13" t="str">
        <f>"73015"</f>
        <v>73015</v>
      </c>
      <c r="B114" s="75" t="s">
        <v>115</v>
      </c>
      <c r="C114" s="13" t="str">
        <f>"16.4"</f>
        <v>16.4</v>
      </c>
      <c r="D114" s="15">
        <f>(C114*1.13274336283)+(-1)</f>
        <v>17.576991150411999</v>
      </c>
      <c r="E114" s="16">
        <f>(C114*1.09734513274)+(-3.7)</f>
        <v>14.296460176935998</v>
      </c>
      <c r="F114" s="17">
        <f>(C114*1.13274336283)+(-0.2)</f>
        <v>18.376991150412</v>
      </c>
      <c r="G114" s="17">
        <f>(C114*1.09734513274)+(-2.6)</f>
        <v>15.396460176935998</v>
      </c>
    </row>
    <row r="115" spans="1:7" ht="19.95" customHeight="1" x14ac:dyDescent="0.25">
      <c r="A115" s="13" t="str">
        <f>"19993"</f>
        <v>19993</v>
      </c>
      <c r="B115" s="75" t="s">
        <v>116</v>
      </c>
      <c r="C115" s="13" t="str">
        <f>"27.0"</f>
        <v>27.0</v>
      </c>
      <c r="D115" s="15">
        <f>(C115*1.13274336283)+(-1)</f>
        <v>29.584070796410003</v>
      </c>
      <c r="E115" s="16">
        <f>(C115*1.09734513274)+(-3.7)</f>
        <v>25.928318583979998</v>
      </c>
      <c r="F115" s="17">
        <f>(C115*1.13274336283)+(-0.2)</f>
        <v>30.384070796410004</v>
      </c>
      <c r="G115" s="17">
        <f>(C115*1.09734513274)+(-2.6)</f>
        <v>27.028318583979996</v>
      </c>
    </row>
    <row r="116" spans="1:7" ht="19.95" customHeight="1" x14ac:dyDescent="0.25">
      <c r="A116" s="13" t="str">
        <f>"1009332"</f>
        <v>1009332</v>
      </c>
      <c r="B116" s="75" t="s">
        <v>117</v>
      </c>
      <c r="C116" s="13" t="str">
        <f>"24.7"</f>
        <v>24.7</v>
      </c>
      <c r="D116" s="15">
        <f>(C116*1.13274336283)+(-1)</f>
        <v>26.978761061901</v>
      </c>
      <c r="E116" s="16">
        <f>(C116*1.09734513274)+(-3.7)</f>
        <v>23.404424778677999</v>
      </c>
      <c r="F116" s="17">
        <f>(C116*1.13274336283)+(-0.2)</f>
        <v>27.778761061901001</v>
      </c>
      <c r="G116" s="17">
        <f>(C116*1.09734513274)+(-2.6)</f>
        <v>24.504424778677997</v>
      </c>
    </row>
    <row r="117" spans="1:7" ht="19.95" customHeight="1" x14ac:dyDescent="0.25">
      <c r="A117" s="13" t="str">
        <f>"81049"</f>
        <v>81049</v>
      </c>
      <c r="B117" s="75" t="s">
        <v>118</v>
      </c>
      <c r="C117" s="13" t="str">
        <f>"20.0"</f>
        <v>20.0</v>
      </c>
      <c r="D117" s="15">
        <f>(C117*1.13274336283)+(-1)</f>
        <v>21.654867256600003</v>
      </c>
      <c r="E117" s="16">
        <f>(C117*1.09734513274)+(-3.7)</f>
        <v>18.2469026548</v>
      </c>
      <c r="F117" s="17">
        <f>(C117*1.13274336283)+(-0.2)</f>
        <v>22.454867256600004</v>
      </c>
      <c r="G117" s="17">
        <f>(C117*1.09734513274)+(-2.6)</f>
        <v>19.346902654799997</v>
      </c>
    </row>
    <row r="118" spans="1:7" ht="19.95" customHeight="1" x14ac:dyDescent="0.25">
      <c r="A118" s="13" t="str">
        <f>"80142"</f>
        <v>80142</v>
      </c>
      <c r="B118" s="75" t="s">
        <v>119</v>
      </c>
      <c r="C118" s="13" t="str">
        <f>"14.3"</f>
        <v>14.3</v>
      </c>
      <c r="D118" s="15">
        <f>(C118*1.13274336283)+(-1)</f>
        <v>15.198230088469003</v>
      </c>
      <c r="E118" s="16">
        <f>(C118*1.09734513274)+(-3.7)</f>
        <v>11.992035398182001</v>
      </c>
      <c r="F118" s="17">
        <f>(C118*1.13274336283)+(-0.2)</f>
        <v>15.998230088469004</v>
      </c>
      <c r="G118" s="17">
        <f>(C118*1.09734513274)+(-2.6)</f>
        <v>13.092035398182</v>
      </c>
    </row>
    <row r="119" spans="1:7" ht="19.95" customHeight="1" x14ac:dyDescent="0.25">
      <c r="A119" s="13" t="str">
        <f>"1000932"</f>
        <v>1000932</v>
      </c>
      <c r="B119" s="75" t="s">
        <v>120</v>
      </c>
      <c r="C119" s="13" t="str">
        <f>"25.5"</f>
        <v>25.5</v>
      </c>
      <c r="D119" s="15">
        <f>(C119*1.13274336283)+(-1)</f>
        <v>27.884955752165002</v>
      </c>
      <c r="E119" s="16">
        <f>(C119*1.09734513274)+(-3.7)</f>
        <v>24.282300884869997</v>
      </c>
      <c r="F119" s="17">
        <f>(C119*1.13274336283)+(-0.2)</f>
        <v>28.684955752165003</v>
      </c>
      <c r="G119" s="17">
        <f>(C119*1.09734513274)+(-2.6)</f>
        <v>25.382300884869995</v>
      </c>
    </row>
    <row r="120" spans="1:7" ht="19.95" customHeight="1" x14ac:dyDescent="0.25">
      <c r="A120" s="13" t="str">
        <f>"76996"</f>
        <v>76996</v>
      </c>
      <c r="B120" s="75" t="s">
        <v>121</v>
      </c>
      <c r="C120" s="13" t="str">
        <f>"24.5000"</f>
        <v>24.5000</v>
      </c>
      <c r="D120" s="15">
        <f>(C120*1.13274336283)+(-1)</f>
        <v>26.752212389335003</v>
      </c>
      <c r="E120" s="16">
        <f>(C120*1.09734513274)+(-3.7)</f>
        <v>23.184955752129998</v>
      </c>
      <c r="F120" s="17">
        <f>(C120*1.13274336283)+(-0.2)</f>
        <v>27.552212389335004</v>
      </c>
      <c r="G120" s="17">
        <f>(C120*1.09734513274)+(-2.6)</f>
        <v>24.284955752129996</v>
      </c>
    </row>
    <row r="121" spans="1:7" ht="19.95" customHeight="1" x14ac:dyDescent="0.25">
      <c r="A121" s="13" t="str">
        <f>"1000921"</f>
        <v>1000921</v>
      </c>
      <c r="B121" s="75" t="s">
        <v>122</v>
      </c>
      <c r="C121" s="13" t="str">
        <f>"35.9"</f>
        <v>35.9</v>
      </c>
      <c r="D121" s="15">
        <f>(C121*1.13274336283)+(-1)</f>
        <v>39.665486725596999</v>
      </c>
      <c r="E121" s="16">
        <f>(C121*1.09734513274)+(-3.7)</f>
        <v>35.694690265365992</v>
      </c>
      <c r="F121" s="17">
        <f>(C121*1.13274336283)+(-0.2)</f>
        <v>40.465486725596996</v>
      </c>
      <c r="G121" s="17">
        <f>(C121*1.09734513274)+(-2.6)</f>
        <v>36.794690265365993</v>
      </c>
    </row>
    <row r="122" spans="1:7" ht="19.95" customHeight="1" x14ac:dyDescent="0.25">
      <c r="A122" s="13" t="str">
        <f>"60698"</f>
        <v>60698</v>
      </c>
      <c r="B122" s="75" t="s">
        <v>123</v>
      </c>
      <c r="C122" s="13" t="str">
        <f>"18.7"</f>
        <v>18.7</v>
      </c>
      <c r="D122" s="15">
        <f>(C122*1.13274336283)+(-1)</f>
        <v>20.182300884921002</v>
      </c>
      <c r="E122" s="16">
        <f>(C122*1.09734513274)+(-3.7)</f>
        <v>16.820353982237997</v>
      </c>
      <c r="F122" s="17">
        <f>(C122*1.13274336283)+(-0.2)</f>
        <v>20.982300884921003</v>
      </c>
      <c r="G122" s="17">
        <f>(C122*1.09734513274)+(-2.6)</f>
        <v>17.920353982237994</v>
      </c>
    </row>
    <row r="123" spans="1:7" ht="19.95" customHeight="1" x14ac:dyDescent="0.25">
      <c r="A123" s="13" t="str">
        <f>"1009122"</f>
        <v>1009122</v>
      </c>
      <c r="B123" s="75" t="s">
        <v>124</v>
      </c>
      <c r="C123" s="13" t="str">
        <f>"19.2"</f>
        <v>19.2</v>
      </c>
      <c r="D123" s="15">
        <f>(C123*1.13274336283)+(-1)</f>
        <v>20.748672566336001</v>
      </c>
      <c r="E123" s="16">
        <f>(C123*1.09734513274)+(-3.7)</f>
        <v>17.369026548607998</v>
      </c>
      <c r="F123" s="17">
        <f>(C123*1.13274336283)+(-0.2)</f>
        <v>21.548672566336002</v>
      </c>
      <c r="G123" s="17">
        <f>(C123*1.09734513274)+(-2.6)</f>
        <v>18.469026548607996</v>
      </c>
    </row>
    <row r="124" spans="1:7" ht="19.95" customHeight="1" x14ac:dyDescent="0.25">
      <c r="A124" s="13" t="str">
        <f>"1007138"</f>
        <v>1007138</v>
      </c>
      <c r="B124" s="75" t="s">
        <v>125</v>
      </c>
      <c r="C124" s="13" t="str">
        <f>"31.0"</f>
        <v>31.0</v>
      </c>
      <c r="D124" s="15">
        <f>(C124*1.13274336283)+(-1)</f>
        <v>34.115044247730005</v>
      </c>
      <c r="E124" s="16">
        <f>(C124*1.09734513274)+(-3.7)</f>
        <v>30.317699114939995</v>
      </c>
      <c r="F124" s="17">
        <f>(C124*1.13274336283)+(-0.2)</f>
        <v>34.915044247730002</v>
      </c>
      <c r="G124" s="17">
        <f>(C124*1.09734513274)+(-2.6)</f>
        <v>31.417699114939992</v>
      </c>
    </row>
    <row r="125" spans="1:7" ht="19.95" customHeight="1" x14ac:dyDescent="0.25">
      <c r="A125" s="13" t="str">
        <f>"49434"</f>
        <v>49434</v>
      </c>
      <c r="B125" s="75" t="s">
        <v>126</v>
      </c>
      <c r="C125" s="13" t="str">
        <f>"16.2"</f>
        <v>16.2</v>
      </c>
      <c r="D125" s="15">
        <f>(C125*1.13274336283)+(-1)</f>
        <v>17.350442477846002</v>
      </c>
      <c r="E125" s="16">
        <f>(C125*1.09734513274)+(-3.7)</f>
        <v>14.076991150387997</v>
      </c>
      <c r="F125" s="17">
        <f>(C125*1.13274336283)+(-0.2)</f>
        <v>18.150442477846003</v>
      </c>
      <c r="G125" s="17">
        <f>(C125*1.09734513274)+(-2.6)</f>
        <v>15.176991150387996</v>
      </c>
    </row>
    <row r="126" spans="1:7" ht="19.95" customHeight="1" x14ac:dyDescent="0.25">
      <c r="A126" s="13" t="str">
        <f>"13215"</f>
        <v>13215</v>
      </c>
      <c r="B126" s="75" t="s">
        <v>127</v>
      </c>
      <c r="C126" s="13" t="str">
        <f>"23.7"</f>
        <v>23.7</v>
      </c>
      <c r="D126" s="15">
        <f>(C126*1.13274336283)+(-1)</f>
        <v>25.846017699071002</v>
      </c>
      <c r="E126" s="16">
        <f>(C126*1.09734513274)+(-3.7)</f>
        <v>22.307079645937996</v>
      </c>
      <c r="F126" s="17">
        <f>(C126*1.13274336283)+(-0.2)</f>
        <v>26.646017699071002</v>
      </c>
      <c r="G126" s="17">
        <f>(C126*1.09734513274)+(-2.6)</f>
        <v>23.407079645937994</v>
      </c>
    </row>
    <row r="127" spans="1:7" ht="19.95" customHeight="1" x14ac:dyDescent="0.25">
      <c r="A127" s="13" t="str">
        <f>"50316"</f>
        <v>50316</v>
      </c>
      <c r="B127" s="75" t="s">
        <v>128</v>
      </c>
      <c r="C127" s="13" t="str">
        <f>"15.5"</f>
        <v>15.5</v>
      </c>
      <c r="D127" s="15">
        <f>(C127*1.13274336283)+(-1)</f>
        <v>16.557522123865002</v>
      </c>
      <c r="E127" s="16">
        <f>(C127*1.09734513274)+(-3.7)</f>
        <v>13.308849557469998</v>
      </c>
      <c r="F127" s="17">
        <f>(C127*1.13274336283)+(-0.2)</f>
        <v>17.357522123865003</v>
      </c>
      <c r="G127" s="17">
        <f>(C127*1.09734513274)+(-2.6)</f>
        <v>14.408849557469997</v>
      </c>
    </row>
    <row r="128" spans="1:7" ht="19.95" customHeight="1" x14ac:dyDescent="0.25">
      <c r="A128" s="13" t="str">
        <f>"1009021"</f>
        <v>1009021</v>
      </c>
      <c r="B128" s="75" t="s">
        <v>129</v>
      </c>
      <c r="C128" s="13" t="str">
        <f>"38.0"</f>
        <v>38.0</v>
      </c>
      <c r="D128" s="15">
        <f>(C128*1.13274336283)+(-1)</f>
        <v>42.044247787540002</v>
      </c>
      <c r="E128" s="16">
        <f>(C128*1.09734513274)+(-3.7)</f>
        <v>37.999115044119996</v>
      </c>
      <c r="F128" s="17">
        <f>(C128*1.13274336283)+(-0.2)</f>
        <v>42.844247787539999</v>
      </c>
      <c r="G128" s="17">
        <f>(C128*1.09734513274)+(-2.6)</f>
        <v>39.099115044119998</v>
      </c>
    </row>
    <row r="129" spans="1:7" ht="19.95" customHeight="1" x14ac:dyDescent="0.25">
      <c r="A129" s="13" t="str">
        <f>"47823"</f>
        <v>47823</v>
      </c>
      <c r="B129" s="75" t="s">
        <v>130</v>
      </c>
      <c r="C129" s="13" t="str">
        <f>"34.9"</f>
        <v>34.9</v>
      </c>
      <c r="D129" s="15">
        <f>(C129*1.13274336283)+(-1)</f>
        <v>38.532743362767</v>
      </c>
      <c r="E129" s="16">
        <f>(C129*1.09734513274)+(-3.7)</f>
        <v>34.597345132625989</v>
      </c>
      <c r="F129" s="17">
        <f>(C129*1.13274336283)+(-0.2)</f>
        <v>39.332743362766998</v>
      </c>
      <c r="G129" s="17">
        <f>(C129*1.09734513274)+(-2.6)</f>
        <v>35.697345132625991</v>
      </c>
    </row>
    <row r="130" spans="1:7" ht="19.95" customHeight="1" x14ac:dyDescent="0.25">
      <c r="A130" s="13" t="str">
        <f>"1011038"</f>
        <v>1011038</v>
      </c>
      <c r="B130" s="75" t="s">
        <v>131</v>
      </c>
      <c r="C130" s="13" t="str">
        <f>"33.8"</f>
        <v>33.8</v>
      </c>
      <c r="D130" s="15">
        <f>(C130*1.13274336283)+(-1)</f>
        <v>37.286725663654003</v>
      </c>
      <c r="E130" s="16">
        <f>(C130*1.09734513274)+(-3.7)</f>
        <v>33.390265486611987</v>
      </c>
      <c r="F130" s="17">
        <f>(C130*1.13274336283)+(-0.2)</f>
        <v>38.086725663654001</v>
      </c>
      <c r="G130" s="17">
        <f>(C130*1.09734513274)+(-2.6)</f>
        <v>34.490265486611989</v>
      </c>
    </row>
    <row r="131" spans="1:7" ht="19.95" customHeight="1" x14ac:dyDescent="0.25">
      <c r="A131" s="13" t="str">
        <f>"47489"</f>
        <v>47489</v>
      </c>
      <c r="B131" s="75" t="s">
        <v>132</v>
      </c>
      <c r="C131" s="13" t="str">
        <f>"7.3"</f>
        <v>7.3</v>
      </c>
      <c r="D131" s="15">
        <f>(C131*1.13274336283)+(-1)</f>
        <v>7.2690265486590011</v>
      </c>
      <c r="E131" s="16">
        <f>(C131*1.09734513274)+(-3.7)</f>
        <v>4.3106194690019981</v>
      </c>
      <c r="F131" s="17">
        <f>(C131*1.13274336283)+(-0.2)</f>
        <v>8.0690265486590018</v>
      </c>
      <c r="G131" s="17">
        <f>(C131*1.09734513274)+(-2.6)</f>
        <v>5.4106194690019986</v>
      </c>
    </row>
    <row r="132" spans="1:7" ht="19.95" customHeight="1" x14ac:dyDescent="0.25">
      <c r="A132" s="13" t="str">
        <f>"68922"</f>
        <v>68922</v>
      </c>
      <c r="B132" s="75" t="s">
        <v>133</v>
      </c>
      <c r="C132" s="13" t="str">
        <f>"19.1"</f>
        <v>19.1</v>
      </c>
      <c r="D132" s="15">
        <f>(C132*1.13274336283)+(-1)</f>
        <v>20.635398230053003</v>
      </c>
      <c r="E132" s="16">
        <f>(C132*1.09734513274)+(-3.7)</f>
        <v>17.259292035333999</v>
      </c>
      <c r="F132" s="17">
        <f>(C132*1.13274336283)+(-0.2)</f>
        <v>21.435398230053003</v>
      </c>
      <c r="G132" s="17">
        <f>(C132*1.09734513274)+(-2.6)</f>
        <v>18.359292035333997</v>
      </c>
    </row>
    <row r="133" spans="1:7" ht="19.95" customHeight="1" x14ac:dyDescent="0.25">
      <c r="A133" s="13" t="str">
        <f>"1000702"</f>
        <v>1000702</v>
      </c>
      <c r="B133" s="75" t="s">
        <v>134</v>
      </c>
      <c r="C133" s="13" t="str">
        <f>"35.3"</f>
        <v>35.3</v>
      </c>
      <c r="D133" s="15">
        <f>(C133*1.13274336283)+(-1)</f>
        <v>38.985840707899001</v>
      </c>
      <c r="E133" s="16">
        <f>(C133*1.09734513274)+(-3.7)</f>
        <v>35.036283185721992</v>
      </c>
      <c r="F133" s="17">
        <f>(C133*1.13274336283)+(-0.2)</f>
        <v>39.785840707898998</v>
      </c>
      <c r="G133" s="17">
        <f>(C133*1.09734513274)+(-2.6)</f>
        <v>36.136283185721993</v>
      </c>
    </row>
    <row r="134" spans="1:7" ht="19.95" customHeight="1" x14ac:dyDescent="0.25">
      <c r="A134" s="13" t="str">
        <f>"1008200"</f>
        <v>1008200</v>
      </c>
      <c r="B134" s="75" t="s">
        <v>135</v>
      </c>
      <c r="C134" s="13" t="str">
        <f>"34.8"</f>
        <v>34.8</v>
      </c>
      <c r="D134" s="15">
        <f>(C134*1.13274336283)+(-1)</f>
        <v>38.419469026484002</v>
      </c>
      <c r="E134" s="16">
        <f>(C134*1.09734513274)+(-3.7)</f>
        <v>34.48761061935199</v>
      </c>
      <c r="F134" s="17">
        <f>(C134*1.13274336283)+(-0.2)</f>
        <v>39.219469026483999</v>
      </c>
      <c r="G134" s="17">
        <f>(C134*1.09734513274)+(-2.6)</f>
        <v>35.587610619351992</v>
      </c>
    </row>
    <row r="135" spans="1:7" ht="19.95" customHeight="1" x14ac:dyDescent="0.25">
      <c r="A135" s="13" t="str">
        <f>"77541"</f>
        <v>77541</v>
      </c>
      <c r="B135" s="75" t="s">
        <v>136</v>
      </c>
      <c r="C135" s="13" t="str">
        <f>"12.5"</f>
        <v>12.5</v>
      </c>
      <c r="D135" s="15">
        <f>(C135*1.13274336283)+(-1)</f>
        <v>13.159292035375001</v>
      </c>
      <c r="E135" s="16">
        <f>(C135*1.09734513274)+(-3.7)</f>
        <v>10.01681415925</v>
      </c>
      <c r="F135" s="17">
        <f>(C135*1.13274336283)+(-0.2)</f>
        <v>13.959292035375002</v>
      </c>
      <c r="G135" s="17">
        <f>(C135*1.09734513274)+(-2.6)</f>
        <v>11.11681415925</v>
      </c>
    </row>
    <row r="136" spans="1:7" ht="19.95" customHeight="1" x14ac:dyDescent="0.25">
      <c r="A136" s="13" t="str">
        <f>"1003835"</f>
        <v>1003835</v>
      </c>
      <c r="B136" s="75" t="s">
        <v>137</v>
      </c>
      <c r="C136" s="13" t="str">
        <f>"21.4"</f>
        <v>21.4</v>
      </c>
      <c r="D136" s="15">
        <f>(C136*1.13274336283)+(-1)</f>
        <v>23.240707964562002</v>
      </c>
      <c r="E136" s="16">
        <f>(C136*1.09734513274)+(-3.7)</f>
        <v>19.783185840635998</v>
      </c>
      <c r="F136" s="17">
        <f>(C136*1.13274336283)+(-0.2)</f>
        <v>24.040707964562003</v>
      </c>
      <c r="G136" s="17">
        <f>(C136*1.09734513274)+(-2.6)</f>
        <v>20.883185840635996</v>
      </c>
    </row>
    <row r="137" spans="1:7" ht="19.95" customHeight="1" x14ac:dyDescent="0.25">
      <c r="A137" s="13" t="str">
        <f>"41788"</f>
        <v>41788</v>
      </c>
      <c r="B137" s="75" t="s">
        <v>138</v>
      </c>
      <c r="C137" s="13" t="str">
        <f>"33.2"</f>
        <v>33.2</v>
      </c>
      <c r="D137" s="15">
        <f>(C137*1.13274336283)+(-1)</f>
        <v>36.607079645956006</v>
      </c>
      <c r="E137" s="16">
        <f>(C137*1.09734513274)+(-3.7)</f>
        <v>32.731858406967994</v>
      </c>
      <c r="F137" s="17">
        <f>(C137*1.13274336283)+(-0.2)</f>
        <v>37.407079645956003</v>
      </c>
      <c r="G137" s="17">
        <f>(C137*1.09734513274)+(-2.6)</f>
        <v>33.831858406967996</v>
      </c>
    </row>
    <row r="138" spans="1:7" ht="19.95" customHeight="1" x14ac:dyDescent="0.25">
      <c r="A138" s="13" t="str">
        <f>"71209"</f>
        <v>71209</v>
      </c>
      <c r="B138" s="75" t="s">
        <v>139</v>
      </c>
      <c r="C138" s="13" t="str">
        <f>"17.9"</f>
        <v>17.9</v>
      </c>
      <c r="D138" s="15">
        <f>(C138*1.13274336283)+(-1)</f>
        <v>19.276106194657</v>
      </c>
      <c r="E138" s="16">
        <f>(C138*1.09734513274)+(-3.7)</f>
        <v>15.942477876045999</v>
      </c>
      <c r="F138" s="17">
        <f>(C138*1.13274336283)+(-0.2)</f>
        <v>20.076106194657001</v>
      </c>
      <c r="G138" s="17">
        <f>(C138*1.09734513274)+(-2.6)</f>
        <v>17.042477876045997</v>
      </c>
    </row>
    <row r="139" spans="1:7" ht="19.95" customHeight="1" x14ac:dyDescent="0.25">
      <c r="A139" s="13" t="str">
        <f>"1003558"</f>
        <v>1003558</v>
      </c>
      <c r="B139" s="75" t="s">
        <v>140</v>
      </c>
      <c r="C139" s="13" t="str">
        <f>"6.9"</f>
        <v>6.9</v>
      </c>
      <c r="D139" s="15">
        <f>(C139*1.13274336283)+(-1)</f>
        <v>6.8159292035270012</v>
      </c>
      <c r="E139" s="16">
        <f>(C139*1.09734513274)+(-3.7)</f>
        <v>3.8716814159059991</v>
      </c>
      <c r="F139" s="17">
        <f>(C139*1.13274336283)+(-0.2)</f>
        <v>7.615929203527001</v>
      </c>
      <c r="G139" s="17">
        <f>(C139*1.09734513274)+(-2.6)</f>
        <v>4.9716814159059997</v>
      </c>
    </row>
    <row r="140" spans="1:7" ht="19.95" customHeight="1" x14ac:dyDescent="0.25">
      <c r="A140" s="13" t="str">
        <f>"17523"</f>
        <v>17523</v>
      </c>
      <c r="B140" s="75" t="s">
        <v>141</v>
      </c>
      <c r="C140" s="13" t="str">
        <f>"26.0"</f>
        <v>26.0</v>
      </c>
      <c r="D140" s="15">
        <f>(C140*1.13274336283)+(-1)</f>
        <v>28.451327433580001</v>
      </c>
      <c r="E140" s="16">
        <f>(C140*1.09734513274)+(-3.7)</f>
        <v>24.830973451239998</v>
      </c>
      <c r="F140" s="17">
        <f>(C140*1.13274336283)+(-0.2)</f>
        <v>29.251327433580002</v>
      </c>
      <c r="G140" s="17">
        <f>(C140*1.09734513274)+(-2.6)</f>
        <v>25.930973451239996</v>
      </c>
    </row>
    <row r="141" spans="1:7" ht="19.95" customHeight="1" x14ac:dyDescent="0.25">
      <c r="A141" s="13" t="str">
        <f>"70321"</f>
        <v>70321</v>
      </c>
      <c r="B141" s="75" t="s">
        <v>142</v>
      </c>
      <c r="C141" s="13" t="str">
        <f>"35.1"</f>
        <v>35.1</v>
      </c>
      <c r="D141" s="15">
        <f>(C141*1.13274336283)+(-1)</f>
        <v>38.759292035333004</v>
      </c>
      <c r="E141" s="16">
        <f>(C141*1.09734513274)+(-3.7)</f>
        <v>34.816814159173994</v>
      </c>
      <c r="F141" s="17">
        <f>(C141*1.13274336283)+(-0.2)</f>
        <v>39.559292035333002</v>
      </c>
      <c r="G141" s="17">
        <f>(C141*1.09734513274)+(-2.6)</f>
        <v>35.916814159173995</v>
      </c>
    </row>
    <row r="142" spans="1:7" ht="19.95" customHeight="1" x14ac:dyDescent="0.25">
      <c r="A142" s="13" t="str">
        <f>"18722"</f>
        <v>18722</v>
      </c>
      <c r="B142" s="75" t="s">
        <v>143</v>
      </c>
      <c r="C142" s="13" t="str">
        <f>"29.6"</f>
        <v>29.6</v>
      </c>
      <c r="D142" s="15">
        <f>(C142*1.13274336283)+(-1)</f>
        <v>32.529203539768005</v>
      </c>
      <c r="E142" s="16">
        <f>(C142*1.09734513274)+(-3.7)</f>
        <v>28.781415929103996</v>
      </c>
      <c r="F142" s="17">
        <f>(C142*1.13274336283)+(-0.2)</f>
        <v>33.329203539768002</v>
      </c>
      <c r="G142" s="17">
        <f>(C142*1.09734513274)+(-2.6)</f>
        <v>29.881415929103994</v>
      </c>
    </row>
    <row r="143" spans="1:7" ht="19.95" customHeight="1" x14ac:dyDescent="0.25">
      <c r="A143" s="13" t="str">
        <f>"78014"</f>
        <v>78014</v>
      </c>
      <c r="B143" s="75" t="s">
        <v>144</v>
      </c>
      <c r="C143" s="13" t="str">
        <f>"23.4"</f>
        <v>23.4</v>
      </c>
      <c r="D143" s="15">
        <f>(C143*1.13274336283)+(-1)</f>
        <v>25.506194690221999</v>
      </c>
      <c r="E143" s="16">
        <f>(C143*1.09734513274)+(-3.7)</f>
        <v>21.977876106115996</v>
      </c>
      <c r="F143" s="17">
        <f>(C143*1.13274336283)+(-0.2)</f>
        <v>26.306194690222</v>
      </c>
      <c r="G143" s="17">
        <f>(C143*1.09734513274)+(-2.6)</f>
        <v>23.077876106115994</v>
      </c>
    </row>
    <row r="144" spans="1:7" ht="19.95" customHeight="1" x14ac:dyDescent="0.25">
      <c r="A144" s="13" t="str">
        <f>"73020"</f>
        <v>73020</v>
      </c>
      <c r="B144" s="75" t="s">
        <v>145</v>
      </c>
      <c r="C144" s="13" t="str">
        <f>"29.0"</f>
        <v>29.0</v>
      </c>
      <c r="D144" s="15">
        <f>(C144*1.13274336283)+(-1)</f>
        <v>31.84955752207</v>
      </c>
      <c r="E144" s="16">
        <f>(C144*1.09734513274)+(-3.7)</f>
        <v>28.123008849459996</v>
      </c>
      <c r="F144" s="17">
        <f>(C144*1.13274336283)+(-0.2)</f>
        <v>32.649557522069998</v>
      </c>
      <c r="G144" s="17">
        <f>(C144*1.09734513274)+(-2.6)</f>
        <v>29.223008849459994</v>
      </c>
    </row>
    <row r="145" spans="1:7" ht="19.95" customHeight="1" x14ac:dyDescent="0.25">
      <c r="A145" s="13" t="str">
        <f>"76560"</f>
        <v>76560</v>
      </c>
      <c r="B145" s="75" t="s">
        <v>146</v>
      </c>
      <c r="C145" s="13" t="str">
        <f>"16.5"</f>
        <v>16.5</v>
      </c>
      <c r="D145" s="15">
        <f>(C145*1.13274336283)+(-1)</f>
        <v>17.690265486695001</v>
      </c>
      <c r="E145" s="16">
        <f>(C145*1.09734513274)+(-3.7)</f>
        <v>14.40619469021</v>
      </c>
      <c r="F145" s="17">
        <f>(C145*1.13274336283)+(-0.2)</f>
        <v>18.490265486695002</v>
      </c>
      <c r="G145" s="17">
        <f>(C145*1.09734513274)+(-2.6)</f>
        <v>15.50619469021</v>
      </c>
    </row>
    <row r="146" spans="1:7" ht="19.95" customHeight="1" x14ac:dyDescent="0.25">
      <c r="A146" s="13" t="str">
        <f>"75123"</f>
        <v>75123</v>
      </c>
      <c r="B146" s="75" t="s">
        <v>147</v>
      </c>
      <c r="C146" s="13" t="str">
        <f>"12.3"</f>
        <v>12.3</v>
      </c>
      <c r="D146" s="15">
        <f>(C146*1.13274336283)+(-1)</f>
        <v>12.932743362809003</v>
      </c>
      <c r="E146" s="16">
        <f>(C146*1.09734513274)+(-3.7)</f>
        <v>9.7973451327019987</v>
      </c>
      <c r="F146" s="17">
        <f>(C146*1.13274336283)+(-0.2)</f>
        <v>13.732743362809003</v>
      </c>
      <c r="G146" s="17">
        <f>(C146*1.09734513274)+(-2.6)</f>
        <v>10.897345132702</v>
      </c>
    </row>
    <row r="147" spans="1:7" ht="19.95" customHeight="1" x14ac:dyDescent="0.25">
      <c r="A147" s="13" t="str">
        <f>"1011982"</f>
        <v>1011982</v>
      </c>
      <c r="B147" s="75" t="s">
        <v>148</v>
      </c>
      <c r="C147" s="13" t="s">
        <v>76</v>
      </c>
      <c r="D147" s="15" t="s">
        <v>77</v>
      </c>
      <c r="E147" s="16" t="s">
        <v>77</v>
      </c>
      <c r="F147" s="17" t="s">
        <v>77</v>
      </c>
      <c r="G147" s="17" t="s">
        <v>77</v>
      </c>
    </row>
    <row r="148" spans="1:7" ht="19.95" customHeight="1" x14ac:dyDescent="0.25">
      <c r="A148" s="13" t="str">
        <f>"74180"</f>
        <v>74180</v>
      </c>
      <c r="B148" s="75" t="s">
        <v>149</v>
      </c>
      <c r="C148" s="13" t="str">
        <f>"20.4"</f>
        <v>20.4</v>
      </c>
      <c r="D148" s="15">
        <f>(C148*1.13274336283)+(-1)</f>
        <v>22.107964601732</v>
      </c>
      <c r="E148" s="16">
        <f>(C148*1.09734513274)+(-3.7)</f>
        <v>18.685840707895998</v>
      </c>
      <c r="F148" s="17">
        <f>(C148*1.13274336283)+(-0.2)</f>
        <v>22.907964601732001</v>
      </c>
      <c r="G148" s="17">
        <f>(C148*1.09734513274)+(-2.6)</f>
        <v>19.785840707895996</v>
      </c>
    </row>
    <row r="149" spans="1:7" ht="19.95" customHeight="1" x14ac:dyDescent="0.25">
      <c r="A149" s="13" t="str">
        <f>"49265"</f>
        <v>49265</v>
      </c>
      <c r="B149" s="75" t="s">
        <v>150</v>
      </c>
      <c r="C149" s="13" t="str">
        <f>"14.5"</f>
        <v>14.5</v>
      </c>
      <c r="D149" s="15">
        <f>(C149*1.13274336283)+(-1)</f>
        <v>15.424778761035</v>
      </c>
      <c r="E149" s="16">
        <f>(C149*1.09734513274)+(-3.7)</f>
        <v>12.211504424729998</v>
      </c>
      <c r="F149" s="17">
        <f>(C149*1.13274336283)+(-0.2)</f>
        <v>16.224778761035001</v>
      </c>
      <c r="G149" s="17">
        <f>(C149*1.09734513274)+(-2.6)</f>
        <v>13.311504424729998</v>
      </c>
    </row>
    <row r="150" spans="1:7" ht="19.95" customHeight="1" x14ac:dyDescent="0.25">
      <c r="A150" s="13" t="str">
        <f>"79981"</f>
        <v>79981</v>
      </c>
      <c r="B150" s="75" t="s">
        <v>151</v>
      </c>
      <c r="C150" s="13" t="str">
        <f>"21.7000"</f>
        <v>21.7000</v>
      </c>
      <c r="D150" s="15">
        <f>(C150*1.13274336283)+(-1)</f>
        <v>23.580530973411001</v>
      </c>
      <c r="E150" s="16">
        <f>(C150*1.09734513274)+(-3.7)</f>
        <v>20.112389380457998</v>
      </c>
      <c r="F150" s="17">
        <f>(C150*1.13274336283)+(-0.2)</f>
        <v>24.380530973411002</v>
      </c>
      <c r="G150" s="17">
        <f>(C150*1.09734513274)+(-2.6)</f>
        <v>21.212389380457996</v>
      </c>
    </row>
    <row r="151" spans="1:7" ht="19.95" customHeight="1" x14ac:dyDescent="0.25">
      <c r="A151" s="13" t="str">
        <f>"68925"</f>
        <v>68925</v>
      </c>
      <c r="B151" s="75" t="s">
        <v>152</v>
      </c>
      <c r="C151" s="13" t="str">
        <f>"17.6"</f>
        <v>17.6</v>
      </c>
      <c r="D151" s="15">
        <f>(C151*1.13274336283)+(-1)</f>
        <v>18.936283185808005</v>
      </c>
      <c r="E151" s="16">
        <f>(C151*1.09734513274)+(-3.7)</f>
        <v>15.613274336224002</v>
      </c>
      <c r="F151" s="17">
        <f>(C151*1.13274336283)+(-0.2)</f>
        <v>19.736283185808006</v>
      </c>
      <c r="G151" s="17">
        <f>(C151*1.09734513274)+(-2.6)</f>
        <v>16.713274336224</v>
      </c>
    </row>
    <row r="152" spans="1:7" ht="19.95" customHeight="1" x14ac:dyDescent="0.25">
      <c r="A152" s="13" t="str">
        <f>"49214"</f>
        <v>49214</v>
      </c>
      <c r="B152" s="75" t="s">
        <v>153</v>
      </c>
      <c r="C152" s="13" t="str">
        <f>"13.3"</f>
        <v>13.3</v>
      </c>
      <c r="D152" s="15">
        <f>(C152*1.13274336283)+(-1)</f>
        <v>14.065486725639001</v>
      </c>
      <c r="E152" s="16">
        <f>(C152*1.09734513274)+(-3.7)</f>
        <v>10.894690265441998</v>
      </c>
      <c r="F152" s="17">
        <f>(C152*1.13274336283)+(-0.2)</f>
        <v>14.865486725639002</v>
      </c>
      <c r="G152" s="17">
        <f>(C152*1.09734513274)+(-2.6)</f>
        <v>11.994690265441999</v>
      </c>
    </row>
    <row r="153" spans="1:7" ht="19.95" customHeight="1" x14ac:dyDescent="0.25">
      <c r="A153" s="13" t="str">
        <f>"1002430"</f>
        <v>1002430</v>
      </c>
      <c r="B153" s="75" t="s">
        <v>154</v>
      </c>
      <c r="C153" s="13" t="str">
        <f>"31.6"</f>
        <v>31.6</v>
      </c>
      <c r="D153" s="15">
        <f>(C153*1.13274336283)+(-1)</f>
        <v>34.794690265428002</v>
      </c>
      <c r="E153" s="16">
        <f>(C153*1.09734513274)+(-3.7)</f>
        <v>30.976106194584002</v>
      </c>
      <c r="F153" s="17">
        <f>(C153*1.13274336283)+(-0.2)</f>
        <v>35.594690265428</v>
      </c>
      <c r="G153" s="17">
        <f>(C153*1.09734513274)+(-2.6)</f>
        <v>32.076106194584</v>
      </c>
    </row>
    <row r="154" spans="1:7" ht="19.95" customHeight="1" x14ac:dyDescent="0.25">
      <c r="A154" s="13" t="str">
        <f>"1001024"</f>
        <v>1001024</v>
      </c>
      <c r="B154" s="75" t="s">
        <v>155</v>
      </c>
      <c r="C154" s="13" t="str">
        <f>"26.4"</f>
        <v>26.4</v>
      </c>
      <c r="D154" s="15">
        <f>(C154*1.13274336283)+(-1)</f>
        <v>28.904424778712002</v>
      </c>
      <c r="E154" s="16">
        <f>(C154*1.09734513274)+(-3.7)</f>
        <v>25.269911504335997</v>
      </c>
      <c r="F154" s="17">
        <f>(C154*1.13274336283)+(-0.2)</f>
        <v>29.704424778712003</v>
      </c>
      <c r="G154" s="17">
        <f>(C154*1.09734513274)+(-2.6)</f>
        <v>26.369911504335995</v>
      </c>
    </row>
    <row r="155" spans="1:7" ht="19.95" customHeight="1" x14ac:dyDescent="0.25">
      <c r="A155" s="13" t="str">
        <f>"67976"</f>
        <v>67976</v>
      </c>
      <c r="B155" s="75" t="s">
        <v>156</v>
      </c>
      <c r="C155" s="13" t="str">
        <f>"15.5"</f>
        <v>15.5</v>
      </c>
      <c r="D155" s="15">
        <f>(C155*1.13274336283)+(-1)</f>
        <v>16.557522123865002</v>
      </c>
      <c r="E155" s="16">
        <f>(C155*1.09734513274)+(-3.7)</f>
        <v>13.308849557469998</v>
      </c>
      <c r="F155" s="17">
        <f>(C155*1.13274336283)+(-0.2)</f>
        <v>17.357522123865003</v>
      </c>
      <c r="G155" s="17">
        <f>(C155*1.09734513274)+(-2.6)</f>
        <v>14.408849557469997</v>
      </c>
    </row>
    <row r="156" spans="1:7" ht="19.95" customHeight="1" x14ac:dyDescent="0.25">
      <c r="A156" s="13" t="str">
        <f>"73895"</f>
        <v>73895</v>
      </c>
      <c r="B156" s="75" t="s">
        <v>157</v>
      </c>
      <c r="C156" s="13" t="str">
        <f>"26.6"</f>
        <v>26.6</v>
      </c>
      <c r="D156" s="15">
        <f>(C156*1.13274336283)+(-1)</f>
        <v>29.130973451278003</v>
      </c>
      <c r="E156" s="16">
        <f>(C156*1.09734513274)+(-3.7)</f>
        <v>25.489380530883999</v>
      </c>
      <c r="F156" s="17">
        <f>(C156*1.13274336283)+(-0.2)</f>
        <v>29.930973451278003</v>
      </c>
      <c r="G156" s="17">
        <f>(C156*1.09734513274)+(-2.6)</f>
        <v>26.589380530883997</v>
      </c>
    </row>
    <row r="157" spans="1:7" ht="19.95" customHeight="1" x14ac:dyDescent="0.25">
      <c r="A157" s="13" t="str">
        <f>"1001051"</f>
        <v>1001051</v>
      </c>
      <c r="B157" s="75" t="s">
        <v>158</v>
      </c>
      <c r="C157" s="13" t="str">
        <f>"28.4"</f>
        <v>28.4</v>
      </c>
      <c r="D157" s="15">
        <f>(C157*1.13274336283)+(-1)</f>
        <v>31.169911504372003</v>
      </c>
      <c r="E157" s="16">
        <f>(C157*1.09734513274)+(-3.7)</f>
        <v>27.464601769815996</v>
      </c>
      <c r="F157" s="17">
        <f>(C157*1.13274336283)+(-0.2)</f>
        <v>31.969911504372003</v>
      </c>
      <c r="G157" s="17">
        <f>(C157*1.09734513274)+(-2.6)</f>
        <v>28.564601769815994</v>
      </c>
    </row>
    <row r="158" spans="1:7" ht="19.95" customHeight="1" x14ac:dyDescent="0.25">
      <c r="A158" s="13" t="str">
        <f>"79982"</f>
        <v>79982</v>
      </c>
      <c r="B158" s="75" t="s">
        <v>159</v>
      </c>
      <c r="C158" s="13" t="str">
        <f>"25.5"</f>
        <v>25.5</v>
      </c>
      <c r="D158" s="15">
        <f>(C158*1.13274336283)+(-1)</f>
        <v>27.884955752165002</v>
      </c>
      <c r="E158" s="16">
        <f>(C158*1.09734513274)+(-3.7)</f>
        <v>24.282300884869997</v>
      </c>
      <c r="F158" s="17">
        <f>(C158*1.13274336283)+(-0.2)</f>
        <v>28.684955752165003</v>
      </c>
      <c r="G158" s="17">
        <f>(C158*1.09734513274)+(-2.6)</f>
        <v>25.382300884869995</v>
      </c>
    </row>
    <row r="159" spans="1:7" ht="19.95" customHeight="1" x14ac:dyDescent="0.25">
      <c r="A159" s="13" t="str">
        <f>"75981"</f>
        <v>75981</v>
      </c>
      <c r="B159" s="75" t="s">
        <v>160</v>
      </c>
      <c r="C159" s="13" t="str">
        <f>"12.4"</f>
        <v>12.4</v>
      </c>
      <c r="D159" s="15">
        <f>(C159*1.13274336283)+(-1)</f>
        <v>13.046017699092001</v>
      </c>
      <c r="E159" s="16">
        <f>(C159*1.09734513274)+(-3.7)</f>
        <v>9.9070796459759976</v>
      </c>
      <c r="F159" s="17">
        <f>(C159*1.13274336283)+(-0.2)</f>
        <v>13.846017699092002</v>
      </c>
      <c r="G159" s="17">
        <f>(C159*1.09734513274)+(-2.6)</f>
        <v>11.007079645975999</v>
      </c>
    </row>
    <row r="160" spans="1:7" ht="19.95" customHeight="1" x14ac:dyDescent="0.25">
      <c r="A160" s="13" t="str">
        <f>"74122"</f>
        <v>74122</v>
      </c>
      <c r="B160" s="75" t="s">
        <v>161</v>
      </c>
      <c r="C160" s="13" t="str">
        <f>"19.6"</f>
        <v>19.6</v>
      </c>
      <c r="D160" s="15">
        <f>(C160*1.13274336283)+(-1)</f>
        <v>21.201769911468002</v>
      </c>
      <c r="E160" s="16">
        <f>(C160*1.09734513274)+(-3.7)</f>
        <v>17.807964601704001</v>
      </c>
      <c r="F160" s="17">
        <f>(C160*1.13274336283)+(-0.2)</f>
        <v>22.001769911468003</v>
      </c>
      <c r="G160" s="17">
        <f>(C160*1.09734513274)+(-2.6)</f>
        <v>18.907964601703998</v>
      </c>
    </row>
    <row r="161" spans="1:7" ht="19.95" customHeight="1" x14ac:dyDescent="0.25">
      <c r="A161" s="13" t="str">
        <f>"1000952"</f>
        <v>1000952</v>
      </c>
      <c r="B161" s="75" t="s">
        <v>162</v>
      </c>
      <c r="C161" s="13" t="str">
        <f>"20.6"</f>
        <v>20.6</v>
      </c>
      <c r="D161" s="15">
        <f>(C161*1.13274336283)+(-1)</f>
        <v>22.334513274298004</v>
      </c>
      <c r="E161" s="16">
        <f>(C161*1.09734513274)+(-3.7)</f>
        <v>18.905309734444</v>
      </c>
      <c r="F161" s="17">
        <f>(C161*1.13274336283)+(-0.2)</f>
        <v>23.134513274298005</v>
      </c>
      <c r="G161" s="17">
        <f>(C161*1.09734513274)+(-2.6)</f>
        <v>20.005309734443998</v>
      </c>
    </row>
    <row r="162" spans="1:7" ht="19.95" customHeight="1" x14ac:dyDescent="0.25">
      <c r="A162" s="13" t="str">
        <f>"1001023"</f>
        <v>1001023</v>
      </c>
      <c r="B162" s="75" t="s">
        <v>163</v>
      </c>
      <c r="C162" s="13" t="str">
        <f>"24.2"</f>
        <v>24.2</v>
      </c>
      <c r="D162" s="15">
        <f>(C162*1.13274336283)+(-1)</f>
        <v>26.412389380486001</v>
      </c>
      <c r="E162" s="16">
        <f>(C162*1.09734513274)+(-3.7)</f>
        <v>22.855752212307998</v>
      </c>
      <c r="F162" s="17">
        <f>(C162*1.13274336283)+(-0.2)</f>
        <v>27.212389380486002</v>
      </c>
      <c r="G162" s="17">
        <f>(C162*1.09734513274)+(-2.6)</f>
        <v>23.955752212307996</v>
      </c>
    </row>
    <row r="163" spans="1:7" ht="19.95" customHeight="1" x14ac:dyDescent="0.25">
      <c r="A163" s="13" t="str">
        <f>"74123"</f>
        <v>74123</v>
      </c>
      <c r="B163" s="75" t="s">
        <v>164</v>
      </c>
      <c r="C163" s="13" t="str">
        <f>"21.9"</f>
        <v>21.9</v>
      </c>
      <c r="D163" s="15">
        <f>(C163*1.13274336283)+(-1)</f>
        <v>23.807079645977002</v>
      </c>
      <c r="E163" s="16">
        <f>(C163*1.09734513274)+(-3.7)</f>
        <v>20.331858407005996</v>
      </c>
      <c r="F163" s="17">
        <f>(C163*1.13274336283)+(-0.2)</f>
        <v>24.607079645977002</v>
      </c>
      <c r="G163" s="17">
        <f>(C163*1.09734513274)+(-2.6)</f>
        <v>21.431858407005993</v>
      </c>
    </row>
    <row r="164" spans="1:7" ht="19.95" customHeight="1" x14ac:dyDescent="0.25">
      <c r="A164" s="13" t="str">
        <f>"1015203"</f>
        <v>1015203</v>
      </c>
      <c r="B164" s="75" t="s">
        <v>165</v>
      </c>
      <c r="C164" s="13" t="str">
        <f>"36.2"</f>
        <v>36.2</v>
      </c>
      <c r="D164" s="15">
        <f>(C164*1.13274336283)+(-1)</f>
        <v>40.005309734446008</v>
      </c>
      <c r="E164" s="16">
        <f>(C164*1.09734513274)+(-3.7)</f>
        <v>36.023893805187996</v>
      </c>
      <c r="F164" s="17">
        <f>(C164*1.13274336283)+(-0.2)</f>
        <v>40.805309734446006</v>
      </c>
      <c r="G164" s="17">
        <f>(C164*1.09734513274)+(-2.6)</f>
        <v>37.123893805187997</v>
      </c>
    </row>
    <row r="165" spans="1:7" ht="19.95" customHeight="1" x14ac:dyDescent="0.25">
      <c r="A165" s="13" t="str">
        <f>"17529"</f>
        <v>17529</v>
      </c>
      <c r="B165" s="75" t="s">
        <v>166</v>
      </c>
      <c r="C165" s="13" t="str">
        <f>"22.3"</f>
        <v>22.3</v>
      </c>
      <c r="D165" s="15">
        <f>(C165*1.13274336283)+(-1)</f>
        <v>24.260176991109002</v>
      </c>
      <c r="E165" s="16">
        <f>(C165*1.09734513274)+(-3.7)</f>
        <v>20.770796460101998</v>
      </c>
      <c r="F165" s="17">
        <f>(C165*1.13274336283)+(-0.2)</f>
        <v>25.060176991109003</v>
      </c>
      <c r="G165" s="17">
        <f>(C165*1.09734513274)+(-2.6)</f>
        <v>21.870796460101996</v>
      </c>
    </row>
    <row r="166" spans="1:7" ht="19.95" customHeight="1" x14ac:dyDescent="0.25">
      <c r="A166" s="13" t="str">
        <f>"1014858"</f>
        <v>1014858</v>
      </c>
      <c r="B166" s="75" t="s">
        <v>167</v>
      </c>
      <c r="C166" s="13" t="str">
        <f>"32.7000"</f>
        <v>32.7000</v>
      </c>
      <c r="D166" s="15">
        <f>(C166*1.13274336283)+(-1)</f>
        <v>36.040707964541006</v>
      </c>
      <c r="E166" s="16">
        <f>(C166*1.09734513274)+(-3.7)</f>
        <v>32.183185840598</v>
      </c>
      <c r="F166" s="17">
        <f>(C166*1.13274336283)+(-0.2)</f>
        <v>36.840707964541004</v>
      </c>
      <c r="G166" s="17">
        <f>(C166*1.09734513274)+(-2.6)</f>
        <v>33.283185840598001</v>
      </c>
    </row>
    <row r="167" spans="1:7" ht="19.95" customHeight="1" x14ac:dyDescent="0.25">
      <c r="A167" s="13" t="str">
        <f>"74124"</f>
        <v>74124</v>
      </c>
      <c r="B167" s="75" t="s">
        <v>168</v>
      </c>
      <c r="C167" s="13" t="str">
        <f>"28.0"</f>
        <v>28.0</v>
      </c>
      <c r="D167" s="15">
        <f>(C167*1.13274336283)+(-1)</f>
        <v>30.716814159240002</v>
      </c>
      <c r="E167" s="16">
        <f>(C167*1.09734513274)+(-3.7)</f>
        <v>27.025663716719997</v>
      </c>
      <c r="F167" s="17">
        <f>(C167*1.13274336283)+(-0.2)</f>
        <v>31.516814159240003</v>
      </c>
      <c r="G167" s="17">
        <f>(C167*1.09734513274)+(-2.6)</f>
        <v>28.125663716719995</v>
      </c>
    </row>
    <row r="168" spans="1:7" ht="19.95" customHeight="1" x14ac:dyDescent="0.25">
      <c r="A168" s="13" t="str">
        <f>"66336"</f>
        <v>66336</v>
      </c>
      <c r="B168" s="75" t="s">
        <v>169</v>
      </c>
      <c r="C168" s="13" t="str">
        <f>"19.7"</f>
        <v>19.7</v>
      </c>
      <c r="D168" s="15">
        <f>(C168*1.13274336283)+(-1)</f>
        <v>21.315044247751</v>
      </c>
      <c r="E168" s="16">
        <f>(C168*1.09734513274)+(-3.7)</f>
        <v>17.917699114977999</v>
      </c>
      <c r="F168" s="17">
        <f>(C168*1.13274336283)+(-0.2)</f>
        <v>22.115044247751001</v>
      </c>
      <c r="G168" s="17">
        <f>(C168*1.09734513274)+(-2.6)</f>
        <v>19.017699114977997</v>
      </c>
    </row>
    <row r="169" spans="1:7" ht="19.95" customHeight="1" x14ac:dyDescent="0.25">
      <c r="A169" s="13" t="str">
        <f>"13951"</f>
        <v>13951</v>
      </c>
      <c r="B169" s="75" t="s">
        <v>170</v>
      </c>
      <c r="C169" s="13" t="str">
        <f>"27.8"</f>
        <v>27.8</v>
      </c>
      <c r="D169" s="15">
        <f>(C169*1.13274336283)+(-1)</f>
        <v>30.490265486674005</v>
      </c>
      <c r="E169" s="16">
        <f>(C169*1.09734513274)+(-3.7)</f>
        <v>26.806194690171999</v>
      </c>
      <c r="F169" s="17">
        <f>(C169*1.13274336283)+(-0.2)</f>
        <v>31.290265486674006</v>
      </c>
      <c r="G169" s="17">
        <f>(C169*1.09734513274)+(-2.6)</f>
        <v>27.906194690171997</v>
      </c>
    </row>
    <row r="170" spans="1:7" ht="19.95" customHeight="1" x14ac:dyDescent="0.25">
      <c r="A170" s="13" t="str">
        <f>"79788"</f>
        <v>79788</v>
      </c>
      <c r="B170" s="75" t="s">
        <v>171</v>
      </c>
      <c r="C170" s="13" t="str">
        <f>"22.2"</f>
        <v>22.2</v>
      </c>
      <c r="D170" s="15">
        <f>(C170*1.13274336283)+(-1)</f>
        <v>24.146902654826</v>
      </c>
      <c r="E170" s="16">
        <f>(C170*1.09734513274)+(-3.7)</f>
        <v>20.661061946827999</v>
      </c>
      <c r="F170" s="17">
        <f>(C170*1.13274336283)+(-0.2)</f>
        <v>24.946902654826001</v>
      </c>
      <c r="G170" s="17">
        <f>(C170*1.09734513274)+(-2.6)</f>
        <v>21.761061946827997</v>
      </c>
    </row>
    <row r="171" spans="1:7" ht="19.95" customHeight="1" x14ac:dyDescent="0.25">
      <c r="A171" s="13" t="str">
        <f>"67272"</f>
        <v>67272</v>
      </c>
      <c r="B171" s="75" t="s">
        <v>172</v>
      </c>
      <c r="C171" s="13" t="str">
        <f>"17.9"</f>
        <v>17.9</v>
      </c>
      <c r="D171" s="15">
        <f>(C171*1.13274336283)+(-1)</f>
        <v>19.276106194657</v>
      </c>
      <c r="E171" s="16">
        <f>(C171*1.09734513274)+(-3.7)</f>
        <v>15.942477876045999</v>
      </c>
      <c r="F171" s="17">
        <f>(C171*1.13274336283)+(-0.2)</f>
        <v>20.076106194657001</v>
      </c>
      <c r="G171" s="17">
        <f>(C171*1.09734513274)+(-2.6)</f>
        <v>17.042477876045997</v>
      </c>
    </row>
    <row r="172" spans="1:7" ht="19.95" customHeight="1" x14ac:dyDescent="0.25">
      <c r="A172" s="13" t="str">
        <f>"1008039"</f>
        <v>1008039</v>
      </c>
      <c r="B172" s="75" t="s">
        <v>173</v>
      </c>
      <c r="C172" s="13" t="str">
        <f>"19.7"</f>
        <v>19.7</v>
      </c>
      <c r="D172" s="15">
        <f>(C172*1.13274336283)+(-1)</f>
        <v>21.315044247751</v>
      </c>
      <c r="E172" s="16">
        <f>(C172*1.09734513274)+(-3.7)</f>
        <v>17.917699114977999</v>
      </c>
      <c r="F172" s="17">
        <f>(C172*1.13274336283)+(-0.2)</f>
        <v>22.115044247751001</v>
      </c>
      <c r="G172" s="17">
        <f>(C172*1.09734513274)+(-2.6)</f>
        <v>19.017699114977997</v>
      </c>
    </row>
    <row r="173" spans="1:7" ht="19.95" customHeight="1" x14ac:dyDescent="0.25">
      <c r="A173" s="13" t="str">
        <f>"17534"</f>
        <v>17534</v>
      </c>
      <c r="B173" s="75" t="s">
        <v>174</v>
      </c>
      <c r="C173" s="13" t="str">
        <f>"20.7"</f>
        <v>20.7</v>
      </c>
      <c r="D173" s="15">
        <f>(C173*1.13274336283)+(-1)</f>
        <v>22.447787610581003</v>
      </c>
      <c r="E173" s="16">
        <f>(C173*1.09734513274)+(-3.7)</f>
        <v>19.015044247717999</v>
      </c>
      <c r="F173" s="17">
        <f>(C173*1.13274336283)+(-0.2)</f>
        <v>23.247787610581003</v>
      </c>
      <c r="G173" s="17">
        <f>(C173*1.09734513274)+(-2.6)</f>
        <v>20.115044247717996</v>
      </c>
    </row>
    <row r="174" spans="1:7" ht="19.95" customHeight="1" x14ac:dyDescent="0.25">
      <c r="A174" s="13" t="str">
        <f>"1013000"</f>
        <v>1013000</v>
      </c>
      <c r="B174" s="75" t="s">
        <v>175</v>
      </c>
      <c r="C174" s="13" t="str">
        <f>"28.9"</f>
        <v>28.9</v>
      </c>
      <c r="D174" s="15">
        <f>(C174*1.13274336283)+(-1)</f>
        <v>31.736283185787002</v>
      </c>
      <c r="E174" s="16">
        <f>(C174*1.09734513274)+(-3.7)</f>
        <v>28.013274336185997</v>
      </c>
      <c r="F174" s="17">
        <f>(C174*1.13274336283)+(-0.2)</f>
        <v>32.536283185786999</v>
      </c>
      <c r="G174" s="17">
        <f>(C174*1.09734513274)+(-2.6)</f>
        <v>29.113274336185995</v>
      </c>
    </row>
    <row r="175" spans="1:7" ht="19.95" customHeight="1" x14ac:dyDescent="0.25">
      <c r="A175" s="13" t="str">
        <f>"77921"</f>
        <v>77921</v>
      </c>
      <c r="B175" s="75" t="s">
        <v>176</v>
      </c>
      <c r="C175" s="13" t="str">
        <f>"45.4"</f>
        <v>45.4</v>
      </c>
      <c r="D175" s="15">
        <f>(C175*1.13274336283)+(-1)</f>
        <v>50.426548672482006</v>
      </c>
      <c r="E175" s="16">
        <f>(C175*1.09734513274)+(-3.7)</f>
        <v>46.11946902639599</v>
      </c>
      <c r="F175" s="17">
        <f>(C175*1.13274336283)+(-0.2)</f>
        <v>51.226548672482004</v>
      </c>
      <c r="G175" s="17">
        <f>(C175*1.09734513274)+(-2.6)</f>
        <v>47.219469026395991</v>
      </c>
    </row>
    <row r="176" spans="1:7" ht="19.95" customHeight="1" x14ac:dyDescent="0.25">
      <c r="A176" s="13" t="str">
        <f>"1010287"</f>
        <v>1010287</v>
      </c>
      <c r="B176" s="75" t="s">
        <v>177</v>
      </c>
      <c r="C176" s="13" t="str">
        <f>"13.6"</f>
        <v>13.6</v>
      </c>
      <c r="D176" s="15">
        <f>(C176*1.13274336283)+(-1)</f>
        <v>14.405309734488</v>
      </c>
      <c r="E176" s="16">
        <f>(C176*1.09734513274)+(-3.7)</f>
        <v>11.223893805263998</v>
      </c>
      <c r="F176" s="17">
        <f>(C176*1.13274336283)+(-0.2)</f>
        <v>15.205309734488001</v>
      </c>
      <c r="G176" s="17">
        <f>(C176*1.09734513274)+(-2.6)</f>
        <v>12.323893805263998</v>
      </c>
    </row>
    <row r="177" spans="1:7" ht="19.95" customHeight="1" x14ac:dyDescent="0.25">
      <c r="A177" s="13" t="str">
        <f>"17536"</f>
        <v>17536</v>
      </c>
      <c r="B177" s="75" t="s">
        <v>178</v>
      </c>
      <c r="C177" s="13" t="str">
        <f>"11.9"</f>
        <v>11.9</v>
      </c>
      <c r="D177" s="15">
        <f>(C177*1.13274336283)+(-1)</f>
        <v>12.479646017677002</v>
      </c>
      <c r="E177" s="16">
        <f>(C177*1.09734513274)+(-3.7)</f>
        <v>9.3584070796059997</v>
      </c>
      <c r="F177" s="17">
        <f>(C177*1.13274336283)+(-0.2)</f>
        <v>13.279646017677003</v>
      </c>
      <c r="G177" s="17">
        <f>(C177*1.09734513274)+(-2.6)</f>
        <v>10.458407079605999</v>
      </c>
    </row>
    <row r="178" spans="1:7" ht="19.95" customHeight="1" x14ac:dyDescent="0.25">
      <c r="A178" s="13" t="str">
        <f>"1012997"</f>
        <v>1012997</v>
      </c>
      <c r="B178" s="75" t="s">
        <v>179</v>
      </c>
      <c r="C178" s="13" t="str">
        <f>"15.8"</f>
        <v>15.8</v>
      </c>
      <c r="D178" s="15">
        <f>(C178*1.13274336283)+(-1)</f>
        <v>16.897345132714001</v>
      </c>
      <c r="E178" s="16">
        <f>(C178*1.09734513274)+(-3.7)</f>
        <v>13.638053097292001</v>
      </c>
      <c r="F178" s="17">
        <f>(C178*1.13274336283)+(-0.2)</f>
        <v>17.697345132714002</v>
      </c>
      <c r="G178" s="17">
        <f>(C178*1.09734513274)+(-2.6)</f>
        <v>14.738053097292001</v>
      </c>
    </row>
    <row r="179" spans="1:7" ht="19.95" customHeight="1" x14ac:dyDescent="0.25">
      <c r="A179" s="13" t="str">
        <f>"22865"</f>
        <v>22865</v>
      </c>
      <c r="B179" s="75" t="s">
        <v>180</v>
      </c>
      <c r="C179" s="13" t="str">
        <f>"8.0"</f>
        <v>8.0</v>
      </c>
      <c r="D179" s="15">
        <f>(C179*1.13274336283)+(-1)</f>
        <v>8.0619469026400008</v>
      </c>
      <c r="E179" s="16">
        <f>(C179*1.09734513274)+(-3.7)</f>
        <v>5.078761061919999</v>
      </c>
      <c r="F179" s="17">
        <f>(C179*1.13274336283)+(-0.2)</f>
        <v>8.8619469026400015</v>
      </c>
      <c r="G179" s="17">
        <f>(C179*1.09734513274)+(-2.6)</f>
        <v>6.1787610619199995</v>
      </c>
    </row>
    <row r="180" spans="1:7" ht="19.95" customHeight="1" x14ac:dyDescent="0.25">
      <c r="A180" s="13" t="str">
        <f>"17538"</f>
        <v>17538</v>
      </c>
      <c r="B180" s="75" t="s">
        <v>181</v>
      </c>
      <c r="C180" s="13" t="str">
        <f>"34.6"</f>
        <v>34.6</v>
      </c>
      <c r="D180" s="15">
        <f>(C180*1.13274336283)+(-1)</f>
        <v>38.192920353918005</v>
      </c>
      <c r="E180" s="16">
        <f>(C180*1.09734513274)+(-3.7)</f>
        <v>34.268141592803993</v>
      </c>
      <c r="F180" s="17">
        <f>(C180*1.13274336283)+(-0.2)</f>
        <v>38.992920353918002</v>
      </c>
      <c r="G180" s="17">
        <f>(C180*1.09734513274)+(-2.6)</f>
        <v>35.368141592803994</v>
      </c>
    </row>
    <row r="181" spans="1:7" ht="19.95" customHeight="1" x14ac:dyDescent="0.25">
      <c r="A181" s="13" t="str">
        <f>"72953"</f>
        <v>72953</v>
      </c>
      <c r="B181" s="75" t="s">
        <v>182</v>
      </c>
      <c r="C181" s="13" t="str">
        <f>"24.3"</f>
        <v>24.3</v>
      </c>
      <c r="D181" s="15">
        <f>(C181*1.13274336283)+(-1)</f>
        <v>26.525663716769003</v>
      </c>
      <c r="E181" s="16">
        <f>(C181*1.09734513274)+(-3.7)</f>
        <v>22.965486725582</v>
      </c>
      <c r="F181" s="17">
        <f>(C181*1.13274336283)+(-0.2)</f>
        <v>27.325663716769004</v>
      </c>
      <c r="G181" s="17">
        <f>(C181*1.09734513274)+(-2.6)</f>
        <v>24.065486725581998</v>
      </c>
    </row>
    <row r="182" spans="1:7" ht="19.95" customHeight="1" x14ac:dyDescent="0.25">
      <c r="A182" s="13" t="str">
        <f>"81051"</f>
        <v>81051</v>
      </c>
      <c r="B182" s="75" t="s">
        <v>183</v>
      </c>
      <c r="C182" s="13" t="str">
        <f>"23.5"</f>
        <v>23.5</v>
      </c>
      <c r="D182" s="15">
        <f>(C182*1.13274336283)+(-1)</f>
        <v>25.619469026505001</v>
      </c>
      <c r="E182" s="16">
        <f>(C182*1.09734513274)+(-3.7)</f>
        <v>22.087610619389999</v>
      </c>
      <c r="F182" s="17">
        <f>(C182*1.13274336283)+(-0.2)</f>
        <v>26.419469026505002</v>
      </c>
      <c r="G182" s="17">
        <f>(C182*1.09734513274)+(-2.6)</f>
        <v>23.187610619389996</v>
      </c>
    </row>
    <row r="183" spans="1:7" ht="19.95" customHeight="1" x14ac:dyDescent="0.25">
      <c r="A183" s="13" t="str">
        <f>"70293"</f>
        <v>70293</v>
      </c>
      <c r="B183" s="75" t="s">
        <v>184</v>
      </c>
      <c r="C183" s="13" t="str">
        <f>"20.6"</f>
        <v>20.6</v>
      </c>
      <c r="D183" s="15">
        <f>(C183*1.13274336283)+(-1)</f>
        <v>22.334513274298004</v>
      </c>
      <c r="E183" s="16">
        <f>(C183*1.09734513274)+(-3.7)</f>
        <v>18.905309734444</v>
      </c>
      <c r="F183" s="17">
        <f>(C183*1.13274336283)+(-0.2)</f>
        <v>23.134513274298005</v>
      </c>
      <c r="G183" s="17">
        <f>(C183*1.09734513274)+(-2.6)</f>
        <v>20.005309734443998</v>
      </c>
    </row>
    <row r="184" spans="1:7" ht="19.95" customHeight="1" x14ac:dyDescent="0.25">
      <c r="A184" s="13" t="str">
        <f>"79399"</f>
        <v>79399</v>
      </c>
      <c r="B184" s="75" t="s">
        <v>185</v>
      </c>
      <c r="C184" s="13" t="str">
        <f>"27.8"</f>
        <v>27.8</v>
      </c>
      <c r="D184" s="15">
        <f>(C184*1.13274336283)+(-1)</f>
        <v>30.490265486674005</v>
      </c>
      <c r="E184" s="16">
        <f>(C184*1.09734513274)+(-3.7)</f>
        <v>26.806194690171999</v>
      </c>
      <c r="F184" s="17">
        <f>(C184*1.13274336283)+(-0.2)</f>
        <v>31.290265486674006</v>
      </c>
      <c r="G184" s="17">
        <f>(C184*1.09734513274)+(-2.6)</f>
        <v>27.906194690171997</v>
      </c>
    </row>
    <row r="185" spans="1:7" ht="19.95" customHeight="1" x14ac:dyDescent="0.25">
      <c r="A185" s="13" t="str">
        <f>"17539"</f>
        <v>17539</v>
      </c>
      <c r="B185" s="75" t="s">
        <v>186</v>
      </c>
      <c r="C185" s="13" t="str">
        <f>"10.6"</f>
        <v>10.6</v>
      </c>
      <c r="D185" s="15">
        <f>(C185*1.13274336283)+(-1)</f>
        <v>11.007079645998001</v>
      </c>
      <c r="E185" s="16">
        <f>(C185*1.09734513274)+(-3.7)</f>
        <v>7.9318584070439977</v>
      </c>
      <c r="F185" s="17">
        <f>(C185*1.13274336283)+(-0.2)</f>
        <v>11.807079645998002</v>
      </c>
      <c r="G185" s="17">
        <f>(C185*1.09734513274)+(-2.6)</f>
        <v>9.0318584070439982</v>
      </c>
    </row>
    <row r="186" spans="1:7" ht="19.95" customHeight="1" x14ac:dyDescent="0.25">
      <c r="A186" s="13" t="str">
        <f>"76559"</f>
        <v>76559</v>
      </c>
      <c r="B186" s="75" t="s">
        <v>187</v>
      </c>
      <c r="C186" s="13" t="str">
        <f>"28.0"</f>
        <v>28.0</v>
      </c>
      <c r="D186" s="15">
        <f>(C186*1.13274336283)+(-1)</f>
        <v>30.716814159240002</v>
      </c>
      <c r="E186" s="16">
        <f>(C186*1.09734513274)+(-3.7)</f>
        <v>27.025663716719997</v>
      </c>
      <c r="F186" s="17">
        <f>(C186*1.13274336283)+(-0.2)</f>
        <v>31.516814159240003</v>
      </c>
      <c r="G186" s="17">
        <f>(C186*1.09734513274)+(-2.6)</f>
        <v>28.125663716719995</v>
      </c>
    </row>
    <row r="187" spans="1:7" ht="19.95" customHeight="1" x14ac:dyDescent="0.25">
      <c r="A187" s="13" t="str">
        <f>"1005296"</f>
        <v>1005296</v>
      </c>
      <c r="B187" s="75" t="s">
        <v>188</v>
      </c>
      <c r="C187" s="13" t="str">
        <f>"24.4"</f>
        <v>24.4</v>
      </c>
      <c r="D187" s="15">
        <f>(C187*1.13274336283)+(-1)</f>
        <v>26.638938053052001</v>
      </c>
      <c r="E187" s="16">
        <f>(C187*1.09734513274)+(-3.7)</f>
        <v>23.075221238855995</v>
      </c>
      <c r="F187" s="17">
        <f>(C187*1.13274336283)+(-0.2)</f>
        <v>27.438938053052002</v>
      </c>
      <c r="G187" s="17">
        <f>(C187*1.09734513274)+(-2.6)</f>
        <v>24.175221238855993</v>
      </c>
    </row>
    <row r="188" spans="1:7" ht="19.95" customHeight="1" x14ac:dyDescent="0.25">
      <c r="A188" s="13" t="str">
        <f>"17540"</f>
        <v>17540</v>
      </c>
      <c r="B188" s="75" t="s">
        <v>189</v>
      </c>
      <c r="C188" s="13" t="str">
        <f>"27.8"</f>
        <v>27.8</v>
      </c>
      <c r="D188" s="15">
        <f>(C188*1.13274336283)+(-1)</f>
        <v>30.490265486674005</v>
      </c>
      <c r="E188" s="16">
        <f>(C188*1.09734513274)+(-3.7)</f>
        <v>26.806194690171999</v>
      </c>
      <c r="F188" s="17">
        <f>(C188*1.13274336283)+(-0.2)</f>
        <v>31.290265486674006</v>
      </c>
      <c r="G188" s="17">
        <f>(C188*1.09734513274)+(-2.6)</f>
        <v>27.906194690171997</v>
      </c>
    </row>
    <row r="189" spans="1:7" ht="19.95" customHeight="1" x14ac:dyDescent="0.25">
      <c r="A189" s="13" t="str">
        <f>"17541"</f>
        <v>17541</v>
      </c>
      <c r="B189" s="75" t="s">
        <v>190</v>
      </c>
      <c r="C189" s="13" t="str">
        <f>"22.1"</f>
        <v>22.1</v>
      </c>
      <c r="D189" s="15">
        <f>(C189*1.13274336283)+(-1)</f>
        <v>24.033628318543006</v>
      </c>
      <c r="E189" s="16">
        <f>(C189*1.09734513274)+(-3.7)</f>
        <v>20.551327433554</v>
      </c>
      <c r="F189" s="17">
        <f>(C189*1.13274336283)+(-0.2)</f>
        <v>24.833628318543006</v>
      </c>
      <c r="G189" s="17">
        <f>(C189*1.09734513274)+(-2.6)</f>
        <v>21.651327433553998</v>
      </c>
    </row>
    <row r="190" spans="1:7" ht="19.95" customHeight="1" x14ac:dyDescent="0.25">
      <c r="A190" s="13" t="str">
        <f>"79398"</f>
        <v>79398</v>
      </c>
      <c r="B190" s="75" t="s">
        <v>191</v>
      </c>
      <c r="C190" s="13" t="str">
        <f>"18.6"</f>
        <v>18.6</v>
      </c>
      <c r="D190" s="15">
        <f>(C190*1.13274336283)+(-1)</f>
        <v>20.069026548638004</v>
      </c>
      <c r="E190" s="16">
        <f>(C190*1.09734513274)+(-3.7)</f>
        <v>16.710619468964001</v>
      </c>
      <c r="F190" s="17">
        <f>(C190*1.13274336283)+(-0.2)</f>
        <v>20.869026548638004</v>
      </c>
      <c r="G190" s="17">
        <f>(C190*1.09734513274)+(-2.6)</f>
        <v>17.810619468963999</v>
      </c>
    </row>
    <row r="191" spans="1:7" ht="19.95" customHeight="1" x14ac:dyDescent="0.25">
      <c r="A191" s="13" t="str">
        <f>"68499"</f>
        <v>68499</v>
      </c>
      <c r="B191" s="75" t="s">
        <v>192</v>
      </c>
      <c r="C191" s="13" t="str">
        <f>"37.7"</f>
        <v>37.7</v>
      </c>
      <c r="D191" s="15">
        <f>(C191*1.13274336283)+(-1)</f>
        <v>41.704424778691006</v>
      </c>
      <c r="E191" s="16">
        <f>(C191*1.09734513274)+(-3.7)</f>
        <v>37.669911504298</v>
      </c>
      <c r="F191" s="17">
        <f>(C191*1.13274336283)+(-0.2)</f>
        <v>42.504424778691003</v>
      </c>
      <c r="G191" s="17">
        <f>(C191*1.09734513274)+(-2.6)</f>
        <v>38.769911504298001</v>
      </c>
    </row>
    <row r="192" spans="1:7" ht="19.95" customHeight="1" x14ac:dyDescent="0.25">
      <c r="A192" s="13" t="str">
        <f>"41780"</f>
        <v>41780</v>
      </c>
      <c r="B192" s="75" t="s">
        <v>193</v>
      </c>
      <c r="C192" s="13" t="str">
        <f>"22.6"</f>
        <v>22.6</v>
      </c>
      <c r="D192" s="15">
        <f>(C192*1.13274336283)+(-1)</f>
        <v>24.599999999958005</v>
      </c>
      <c r="E192" s="16">
        <f>(C192*1.09734513274)+(-3.7)</f>
        <v>21.099999999923998</v>
      </c>
      <c r="F192" s="17">
        <f>(C192*1.13274336283)+(-0.2)</f>
        <v>25.399999999958006</v>
      </c>
      <c r="G192" s="17">
        <f>(C192*1.09734513274)+(-2.6)</f>
        <v>22.199999999923996</v>
      </c>
    </row>
    <row r="193" spans="1:7" ht="19.95" customHeight="1" x14ac:dyDescent="0.25">
      <c r="A193" s="13" t="str">
        <f>"1007508"</f>
        <v>1007508</v>
      </c>
      <c r="B193" s="75" t="s">
        <v>194</v>
      </c>
      <c r="C193" s="13" t="str">
        <f>"19.1"</f>
        <v>19.1</v>
      </c>
      <c r="D193" s="15">
        <f>(C193*1.13274336283)+(-1)</f>
        <v>20.635398230053003</v>
      </c>
      <c r="E193" s="16">
        <f>(C193*1.09734513274)+(-3.7)</f>
        <v>17.259292035333999</v>
      </c>
      <c r="F193" s="17">
        <f>(C193*1.13274336283)+(-0.2)</f>
        <v>21.435398230053003</v>
      </c>
      <c r="G193" s="17">
        <f>(C193*1.09734513274)+(-2.6)</f>
        <v>18.359292035333997</v>
      </c>
    </row>
    <row r="194" spans="1:7" ht="19.95" customHeight="1" x14ac:dyDescent="0.25">
      <c r="A194" s="13" t="str">
        <f>"71633"</f>
        <v>71633</v>
      </c>
      <c r="B194" s="75" t="s">
        <v>195</v>
      </c>
      <c r="C194" s="13" t="str">
        <f>"24.3"</f>
        <v>24.3</v>
      </c>
      <c r="D194" s="15">
        <f>(C194*1.13274336283)+(-1)</f>
        <v>26.525663716769003</v>
      </c>
      <c r="E194" s="16">
        <f>(C194*1.09734513274)+(-3.7)</f>
        <v>22.965486725582</v>
      </c>
      <c r="F194" s="17">
        <f>(C194*1.13274336283)+(-0.2)</f>
        <v>27.325663716769004</v>
      </c>
      <c r="G194" s="17">
        <f>(C194*1.09734513274)+(-2.6)</f>
        <v>24.065486725581998</v>
      </c>
    </row>
    <row r="195" spans="1:7" ht="19.95" customHeight="1" x14ac:dyDescent="0.25">
      <c r="A195" s="13" t="str">
        <f>"1005015"</f>
        <v>1005015</v>
      </c>
      <c r="B195" s="75" t="s">
        <v>196</v>
      </c>
      <c r="C195" s="13" t="str">
        <f>"27.3"</f>
        <v>27.3</v>
      </c>
      <c r="D195" s="15">
        <f>(C195*1.13274336283)+(-1)</f>
        <v>29.923893805259002</v>
      </c>
      <c r="E195" s="16">
        <f>(C195*1.09734513274)+(-3.7)</f>
        <v>26.257522123801998</v>
      </c>
      <c r="F195" s="17">
        <f>(C195*1.13274336283)+(-0.2)</f>
        <v>30.723893805259003</v>
      </c>
      <c r="G195" s="17">
        <f>(C195*1.09734513274)+(-2.6)</f>
        <v>27.357522123801996</v>
      </c>
    </row>
    <row r="196" spans="1:7" ht="19.95" customHeight="1" x14ac:dyDescent="0.25">
      <c r="A196" s="13" t="str">
        <f>"1007510"</f>
        <v>1007510</v>
      </c>
      <c r="B196" s="75" t="s">
        <v>197</v>
      </c>
      <c r="C196" s="13" t="str">
        <f>"29.6"</f>
        <v>29.6</v>
      </c>
      <c r="D196" s="15">
        <f>(C196*1.13274336283)+(-1)</f>
        <v>32.529203539768005</v>
      </c>
      <c r="E196" s="16">
        <f>(C196*1.09734513274)+(-3.7)</f>
        <v>28.781415929103996</v>
      </c>
      <c r="F196" s="17">
        <f>(C196*1.13274336283)+(-0.2)</f>
        <v>33.329203539768002</v>
      </c>
      <c r="G196" s="17">
        <f>(C196*1.09734513274)+(-2.6)</f>
        <v>29.881415929103994</v>
      </c>
    </row>
    <row r="197" spans="1:7" ht="19.95" customHeight="1" x14ac:dyDescent="0.25">
      <c r="A197" s="13" t="str">
        <f>"1001053"</f>
        <v>1001053</v>
      </c>
      <c r="B197" s="75" t="s">
        <v>198</v>
      </c>
      <c r="C197" s="13" t="str">
        <f>"30.1"</f>
        <v>30.1</v>
      </c>
      <c r="D197" s="15">
        <f>(C197*1.13274336283)+(-1)</f>
        <v>33.095575221183005</v>
      </c>
      <c r="E197" s="16">
        <f>(C197*1.09734513274)+(-3.7)</f>
        <v>29.330088495473998</v>
      </c>
      <c r="F197" s="17">
        <f>(C197*1.13274336283)+(-0.2)</f>
        <v>33.895575221183002</v>
      </c>
      <c r="G197" s="17">
        <f>(C197*1.09734513274)+(-2.6)</f>
        <v>30.430088495473996</v>
      </c>
    </row>
    <row r="198" spans="1:7" ht="19.95" customHeight="1" x14ac:dyDescent="0.25">
      <c r="A198" s="13" t="str">
        <f>"79684"</f>
        <v>79684</v>
      </c>
      <c r="B198" s="75" t="s">
        <v>199</v>
      </c>
      <c r="C198" s="13" t="str">
        <f>"27.8"</f>
        <v>27.8</v>
      </c>
      <c r="D198" s="15">
        <f>(C198*1.13274336283)+(-1)</f>
        <v>30.490265486674005</v>
      </c>
      <c r="E198" s="16">
        <f>(C198*1.09734513274)+(-3.7)</f>
        <v>26.806194690171999</v>
      </c>
      <c r="F198" s="17">
        <f>(C198*1.13274336283)+(-0.2)</f>
        <v>31.290265486674006</v>
      </c>
      <c r="G198" s="17">
        <f>(C198*1.09734513274)+(-2.6)</f>
        <v>27.906194690171997</v>
      </c>
    </row>
    <row r="199" spans="1:7" ht="19.95" customHeight="1" x14ac:dyDescent="0.25">
      <c r="A199" s="13" t="str">
        <f>"80722"</f>
        <v>80722</v>
      </c>
      <c r="B199" s="75" t="s">
        <v>200</v>
      </c>
      <c r="C199" s="13" t="str">
        <f>"18.9"</f>
        <v>18.9</v>
      </c>
      <c r="D199" s="15">
        <f>(C199*1.13274336283)+(-1)</f>
        <v>20.408849557486999</v>
      </c>
      <c r="E199" s="16">
        <f>(C199*1.09734513274)+(-3.7)</f>
        <v>17.039823008785998</v>
      </c>
      <c r="F199" s="17">
        <f>(C199*1.13274336283)+(-0.2)</f>
        <v>21.208849557487</v>
      </c>
      <c r="G199" s="17">
        <f>(C199*1.09734513274)+(-2.6)</f>
        <v>18.139823008785996</v>
      </c>
    </row>
    <row r="200" spans="1:7" ht="19.95" customHeight="1" x14ac:dyDescent="0.25">
      <c r="A200" s="13" t="str">
        <f>"74431"</f>
        <v>74431</v>
      </c>
      <c r="B200" s="75" t="s">
        <v>201</v>
      </c>
      <c r="C200" s="13" t="str">
        <f>"14.1"</f>
        <v>14.1</v>
      </c>
      <c r="D200" s="15">
        <f>(C200*1.13274336283)+(-1)</f>
        <v>14.971681415903001</v>
      </c>
      <c r="E200" s="16">
        <f>(C200*1.09734513274)+(-3.7)</f>
        <v>11.772566371633999</v>
      </c>
      <c r="F200" s="17">
        <f>(C200*1.13274336283)+(-0.2)</f>
        <v>15.771681415903002</v>
      </c>
      <c r="G200" s="17">
        <f>(C200*1.09734513274)+(-2.6)</f>
        <v>12.872566371633999</v>
      </c>
    </row>
    <row r="201" spans="1:7" ht="19.95" customHeight="1" x14ac:dyDescent="0.25">
      <c r="A201" s="13" t="str">
        <f>"71776"</f>
        <v>71776</v>
      </c>
      <c r="B201" s="75" t="s">
        <v>202</v>
      </c>
      <c r="C201" s="13" t="str">
        <f>"26.2"</f>
        <v>26.2</v>
      </c>
      <c r="D201" s="15">
        <f>(C201*1.13274336283)+(-1)</f>
        <v>28.677876106146002</v>
      </c>
      <c r="E201" s="16">
        <f>(C201*1.09734513274)+(-3.7)</f>
        <v>25.050442477787996</v>
      </c>
      <c r="F201" s="17">
        <f>(C201*1.13274336283)+(-0.2)</f>
        <v>29.477876106146002</v>
      </c>
      <c r="G201" s="17">
        <f>(C201*1.09734513274)+(-2.6)</f>
        <v>26.150442477787994</v>
      </c>
    </row>
    <row r="202" spans="1:7" ht="19.95" customHeight="1" x14ac:dyDescent="0.25">
      <c r="A202" s="13" t="str">
        <f>"1007162"</f>
        <v>1007162</v>
      </c>
      <c r="B202" s="75" t="s">
        <v>203</v>
      </c>
      <c r="C202" s="13" t="str">
        <f>"23.3"</f>
        <v>23.3</v>
      </c>
      <c r="D202" s="15">
        <f>(C202*1.13274336283)+(-1)</f>
        <v>25.392920353939004</v>
      </c>
      <c r="E202" s="16">
        <f>(C202*1.09734513274)+(-3.7)</f>
        <v>21.868141592841997</v>
      </c>
      <c r="F202" s="17">
        <f>(C202*1.13274336283)+(-0.2)</f>
        <v>26.192920353939005</v>
      </c>
      <c r="G202" s="17">
        <f>(C202*1.09734513274)+(-2.6)</f>
        <v>22.968141592841995</v>
      </c>
    </row>
    <row r="203" spans="1:7" ht="19.95" customHeight="1" x14ac:dyDescent="0.25">
      <c r="A203" s="13" t="str">
        <f>"1000195"</f>
        <v>1000195</v>
      </c>
      <c r="B203" s="75" t="s">
        <v>204</v>
      </c>
      <c r="C203" s="13" t="str">
        <f>"36.8"</f>
        <v>36.8</v>
      </c>
      <c r="D203" s="15">
        <f>(C203*1.13274336283)+(-1)</f>
        <v>40.684955752143999</v>
      </c>
      <c r="E203" s="16">
        <f>(C203*1.09734513274)+(-3.7)</f>
        <v>36.682300884831989</v>
      </c>
      <c r="F203" s="17">
        <f>(C203*1.13274336283)+(-0.2)</f>
        <v>41.484955752143996</v>
      </c>
      <c r="G203" s="17">
        <f>(C203*1.09734513274)+(-2.6)</f>
        <v>37.78230088483199</v>
      </c>
    </row>
    <row r="204" spans="1:7" ht="19.95" customHeight="1" x14ac:dyDescent="0.25">
      <c r="A204" s="13" t="str">
        <f>"79532"</f>
        <v>79532</v>
      </c>
      <c r="B204" s="75" t="s">
        <v>205</v>
      </c>
      <c r="C204" s="13" t="str">
        <f>"20.0"</f>
        <v>20.0</v>
      </c>
      <c r="D204" s="15">
        <f>(C204*1.13274336283)+(-1)</f>
        <v>21.654867256600003</v>
      </c>
      <c r="E204" s="16">
        <f>(C204*1.09734513274)+(-3.7)</f>
        <v>18.2469026548</v>
      </c>
      <c r="F204" s="17">
        <f>(C204*1.13274336283)+(-0.2)</f>
        <v>22.454867256600004</v>
      </c>
      <c r="G204" s="17">
        <f>(C204*1.09734513274)+(-2.6)</f>
        <v>19.346902654799997</v>
      </c>
    </row>
    <row r="205" spans="1:7" ht="19.95" customHeight="1" x14ac:dyDescent="0.25">
      <c r="A205" s="13" t="str">
        <f>"1013070"</f>
        <v>1013070</v>
      </c>
      <c r="B205" s="75" t="s">
        <v>206</v>
      </c>
      <c r="C205" s="13" t="str">
        <f>"28.7"</f>
        <v>28.7</v>
      </c>
      <c r="D205" s="15">
        <f>(C205*1.13274336283)+(-1)</f>
        <v>31.509734513221005</v>
      </c>
      <c r="E205" s="16">
        <f>(C205*1.09734513274)+(-3.7)</f>
        <v>27.793805309637996</v>
      </c>
      <c r="F205" s="17">
        <f>(C205*1.13274336283)+(-0.2)</f>
        <v>32.309734513221002</v>
      </c>
      <c r="G205" s="17">
        <f>(C205*1.09734513274)+(-2.6)</f>
        <v>28.893805309637994</v>
      </c>
    </row>
    <row r="206" spans="1:7" ht="19.95" customHeight="1" x14ac:dyDescent="0.25">
      <c r="A206" s="13" t="str">
        <f>"79527"</f>
        <v>79527</v>
      </c>
      <c r="B206" s="75" t="s">
        <v>207</v>
      </c>
      <c r="C206" s="13" t="str">
        <f>"34.1"</f>
        <v>34.1</v>
      </c>
      <c r="D206" s="15">
        <f>(C206*1.13274336283)+(-1)</f>
        <v>37.626548672503006</v>
      </c>
      <c r="E206" s="16">
        <f>(C206*1.09734513274)+(-3.7)</f>
        <v>33.719469026433998</v>
      </c>
      <c r="F206" s="17">
        <f>(C206*1.13274336283)+(-0.2)</f>
        <v>38.426548672503003</v>
      </c>
      <c r="G206" s="17">
        <f>(C206*1.09734513274)+(-2.6)</f>
        <v>34.819469026434</v>
      </c>
    </row>
    <row r="207" spans="1:7" ht="19.95" customHeight="1" x14ac:dyDescent="0.25">
      <c r="A207" s="13" t="str">
        <f>"4549"</f>
        <v>4549</v>
      </c>
      <c r="B207" s="75" t="s">
        <v>208</v>
      </c>
      <c r="C207" s="13" t="str">
        <f>"31.3"</f>
        <v>31.3</v>
      </c>
      <c r="D207" s="15">
        <f>(C207*1.13274336283)+(-1)</f>
        <v>34.454867256579007</v>
      </c>
      <c r="E207" s="16">
        <f>(C207*1.09734513274)+(-3.7)</f>
        <v>30.646902654761998</v>
      </c>
      <c r="F207" s="17">
        <f>(C207*1.13274336283)+(-0.2)</f>
        <v>35.254867256579004</v>
      </c>
      <c r="G207" s="17">
        <f>(C207*1.09734513274)+(-2.6)</f>
        <v>31.746902654761996</v>
      </c>
    </row>
    <row r="208" spans="1:7" ht="19.95" customHeight="1" x14ac:dyDescent="0.25">
      <c r="A208" s="13" t="str">
        <f>"1007616"</f>
        <v>1007616</v>
      </c>
      <c r="B208" s="75" t="s">
        <v>209</v>
      </c>
      <c r="C208" s="13" t="str">
        <f>"32.9"</f>
        <v>32.9</v>
      </c>
      <c r="D208" s="15">
        <f>(C208*1.13274336283)+(-1)</f>
        <v>36.267256637107003</v>
      </c>
      <c r="E208" s="16">
        <f>(C208*1.09734513274)+(-3.7)</f>
        <v>32.402654867145991</v>
      </c>
      <c r="F208" s="17">
        <f>(C208*1.13274336283)+(-0.2)</f>
        <v>37.067256637107</v>
      </c>
      <c r="G208" s="17">
        <f>(C208*1.09734513274)+(-2.6)</f>
        <v>33.502654867145992</v>
      </c>
    </row>
    <row r="209" spans="1:7" ht="19.95" customHeight="1" x14ac:dyDescent="0.25">
      <c r="A209" s="13" t="str">
        <f>"71208"</f>
        <v>71208</v>
      </c>
      <c r="B209" s="75" t="s">
        <v>210</v>
      </c>
      <c r="C209" s="13" t="str">
        <f>"23.9"</f>
        <v>23.9</v>
      </c>
      <c r="D209" s="15">
        <f>(C209*1.13274336283)+(-1)</f>
        <v>26.072566371637002</v>
      </c>
      <c r="E209" s="16">
        <f>(C209*1.09734513274)+(-3.7)</f>
        <v>22.526548672485998</v>
      </c>
      <c r="F209" s="17">
        <f>(C209*1.13274336283)+(-0.2)</f>
        <v>26.872566371637003</v>
      </c>
      <c r="G209" s="17">
        <f>(C209*1.09734513274)+(-2.6)</f>
        <v>23.626548672485995</v>
      </c>
    </row>
    <row r="210" spans="1:7" ht="19.95" customHeight="1" x14ac:dyDescent="0.25">
      <c r="A210" s="13" t="str">
        <f>"1001566"</f>
        <v>1001566</v>
      </c>
      <c r="B210" s="75" t="s">
        <v>211</v>
      </c>
      <c r="C210" s="13" t="str">
        <f>"25.3"</f>
        <v>25.3</v>
      </c>
      <c r="D210" s="15">
        <f>(C210*1.13274336283)+(-1)</f>
        <v>27.658407079599002</v>
      </c>
      <c r="E210" s="16">
        <f>(C210*1.09734513274)+(-3.7)</f>
        <v>24.062831858321999</v>
      </c>
      <c r="F210" s="17">
        <f>(C210*1.13274336283)+(-0.2)</f>
        <v>28.458407079599002</v>
      </c>
      <c r="G210" s="17">
        <f>(C210*1.09734513274)+(-2.6)</f>
        <v>25.162831858321997</v>
      </c>
    </row>
    <row r="211" spans="1:7" ht="19.95" customHeight="1" x14ac:dyDescent="0.25">
      <c r="A211" s="13" t="str">
        <f>"1006809"</f>
        <v>1006809</v>
      </c>
      <c r="B211" s="75" t="s">
        <v>212</v>
      </c>
      <c r="C211" s="13" t="str">
        <f>"29.4"</f>
        <v>29.4</v>
      </c>
      <c r="D211" s="15">
        <f>(C211*1.13274336283)+(-1)</f>
        <v>32.302654867202001</v>
      </c>
      <c r="E211" s="16">
        <f>(C211*1.09734513274)+(-3.7)</f>
        <v>28.561946902555999</v>
      </c>
      <c r="F211" s="17">
        <f>(C211*1.13274336283)+(-0.2)</f>
        <v>33.102654867201998</v>
      </c>
      <c r="G211" s="17">
        <f>(C211*1.09734513274)+(-2.6)</f>
        <v>29.661946902555997</v>
      </c>
    </row>
    <row r="212" spans="1:7" ht="19.95" customHeight="1" x14ac:dyDescent="0.25">
      <c r="A212" s="13" t="str">
        <f>"71334"</f>
        <v>71334</v>
      </c>
      <c r="B212" s="75" t="s">
        <v>213</v>
      </c>
      <c r="C212" s="13" t="str">
        <f>"26.1"</f>
        <v>26.1</v>
      </c>
      <c r="D212" s="15">
        <f>(C212*1.13274336283)+(-1)</f>
        <v>28.564601769863003</v>
      </c>
      <c r="E212" s="16">
        <f>(C212*1.09734513274)+(-3.7)</f>
        <v>24.940707964514001</v>
      </c>
      <c r="F212" s="17">
        <f>(C212*1.13274336283)+(-0.2)</f>
        <v>29.364601769863004</v>
      </c>
      <c r="G212" s="17">
        <f>(C212*1.09734513274)+(-2.6)</f>
        <v>26.040707964513999</v>
      </c>
    </row>
    <row r="213" spans="1:7" ht="19.95" customHeight="1" x14ac:dyDescent="0.25">
      <c r="A213" s="13" t="str">
        <f>"78299"</f>
        <v>78299</v>
      </c>
      <c r="B213" s="75" t="s">
        <v>214</v>
      </c>
      <c r="C213" s="13" t="str">
        <f>"25.6"</f>
        <v>25.6</v>
      </c>
      <c r="D213" s="15">
        <f>(C213*1.13274336283)+(-1)</f>
        <v>27.998230088448004</v>
      </c>
      <c r="E213" s="16">
        <f>(C213*1.09734513274)+(-3.7)</f>
        <v>24.392035398143999</v>
      </c>
      <c r="F213" s="17">
        <f>(C213*1.13274336283)+(-0.2)</f>
        <v>28.798230088448005</v>
      </c>
      <c r="G213" s="17">
        <f>(C213*1.09734513274)+(-2.6)</f>
        <v>25.492035398143997</v>
      </c>
    </row>
    <row r="214" spans="1:7" ht="19.95" customHeight="1" x14ac:dyDescent="0.25">
      <c r="A214" s="13" t="str">
        <f>"68366"</f>
        <v>68366</v>
      </c>
      <c r="B214" s="75" t="s">
        <v>215</v>
      </c>
      <c r="C214" s="13" t="str">
        <f>"34.6"</f>
        <v>34.6</v>
      </c>
      <c r="D214" s="15">
        <f>(C214*1.13274336283)+(-1)</f>
        <v>38.192920353918005</v>
      </c>
      <c r="E214" s="16">
        <f>(C214*1.09734513274)+(-3.7)</f>
        <v>34.268141592803993</v>
      </c>
      <c r="F214" s="17">
        <f>(C214*1.13274336283)+(-0.2)</f>
        <v>38.992920353918002</v>
      </c>
      <c r="G214" s="17">
        <f>(C214*1.09734513274)+(-2.6)</f>
        <v>35.368141592803994</v>
      </c>
    </row>
    <row r="215" spans="1:7" ht="19.95" customHeight="1" x14ac:dyDescent="0.25">
      <c r="A215" s="13" t="str">
        <f>"24010"</f>
        <v>24010</v>
      </c>
      <c r="B215" s="75" t="s">
        <v>216</v>
      </c>
      <c r="C215" s="13" t="str">
        <f>"24.5"</f>
        <v>24.5</v>
      </c>
      <c r="D215" s="15">
        <f>(C215*1.13274336283)+(-1)</f>
        <v>26.752212389335003</v>
      </c>
      <c r="E215" s="16">
        <f>(C215*1.09734513274)+(-3.7)</f>
        <v>23.184955752129998</v>
      </c>
      <c r="F215" s="17">
        <f>(C215*1.13274336283)+(-0.2)</f>
        <v>27.552212389335004</v>
      </c>
      <c r="G215" s="17">
        <f>(C215*1.09734513274)+(-2.6)</f>
        <v>24.284955752129996</v>
      </c>
    </row>
    <row r="216" spans="1:7" ht="19.95" customHeight="1" x14ac:dyDescent="0.25">
      <c r="A216" s="13" t="str">
        <f>"1011771"</f>
        <v>1011771</v>
      </c>
      <c r="B216" s="75" t="s">
        <v>217</v>
      </c>
      <c r="C216" s="13" t="str">
        <f>"23.9"</f>
        <v>23.9</v>
      </c>
      <c r="D216" s="15">
        <f>(C216*1.13274336283)+(-1)</f>
        <v>26.072566371637002</v>
      </c>
      <c r="E216" s="16">
        <f>(C216*1.09734513274)+(-3.7)</f>
        <v>22.526548672485998</v>
      </c>
      <c r="F216" s="17">
        <f>(C216*1.13274336283)+(-0.2)</f>
        <v>26.872566371637003</v>
      </c>
      <c r="G216" s="17">
        <f>(C216*1.09734513274)+(-2.6)</f>
        <v>23.626548672485995</v>
      </c>
    </row>
    <row r="217" spans="1:7" ht="19.95" customHeight="1" x14ac:dyDescent="0.25">
      <c r="A217" s="13" t="str">
        <f>"1011877"</f>
        <v>1011877</v>
      </c>
      <c r="B217" s="75" t="s">
        <v>218</v>
      </c>
      <c r="C217" s="13" t="str">
        <f>"35.2"</f>
        <v>35.2</v>
      </c>
      <c r="D217" s="15">
        <f>(C217*1.13274336283)+(-1)</f>
        <v>38.87256637161601</v>
      </c>
      <c r="E217" s="16">
        <f>(C217*1.09734513274)+(-3.7)</f>
        <v>34.926548672448</v>
      </c>
      <c r="F217" s="17">
        <f>(C217*1.13274336283)+(-0.2)</f>
        <v>39.672566371616007</v>
      </c>
      <c r="G217" s="17">
        <f>(C217*1.09734513274)+(-2.6)</f>
        <v>36.026548672448001</v>
      </c>
    </row>
    <row r="218" spans="1:7" ht="19.95" customHeight="1" x14ac:dyDescent="0.25">
      <c r="A218" s="13" t="str">
        <f>"1002750"</f>
        <v>1002750</v>
      </c>
      <c r="B218" s="75" t="s">
        <v>219</v>
      </c>
      <c r="C218" s="13" t="str">
        <f>"15.7"</f>
        <v>15.7</v>
      </c>
      <c r="D218" s="15">
        <f>(C218*1.13274336283)+(-1)</f>
        <v>16.784070796430999</v>
      </c>
      <c r="E218" s="16">
        <f>(C218*1.09734513274)+(-3.7)</f>
        <v>13.528318584017999</v>
      </c>
      <c r="F218" s="17">
        <f>(C218*1.13274336283)+(-0.2)</f>
        <v>17.584070796431</v>
      </c>
      <c r="G218" s="17">
        <f>(C218*1.09734513274)+(-2.6)</f>
        <v>14.628318584017999</v>
      </c>
    </row>
    <row r="219" spans="1:7" ht="19.95" customHeight="1" x14ac:dyDescent="0.25">
      <c r="A219" s="13" t="str">
        <f>"1000350"</f>
        <v>1000350</v>
      </c>
      <c r="B219" s="75" t="s">
        <v>220</v>
      </c>
      <c r="C219" s="13" t="str">
        <f>"26.5"</f>
        <v>26.5</v>
      </c>
      <c r="D219" s="15">
        <f>(C219*1.13274336283)+(-1)</f>
        <v>29.017699114995004</v>
      </c>
      <c r="E219" s="16">
        <f>(C219*1.09734513274)+(-3.7)</f>
        <v>25.379646017609996</v>
      </c>
      <c r="F219" s="17">
        <f>(C219*1.13274336283)+(-0.2)</f>
        <v>29.817699114995005</v>
      </c>
      <c r="G219" s="17">
        <f>(C219*1.09734513274)+(-2.6)</f>
        <v>26.479646017609994</v>
      </c>
    </row>
    <row r="220" spans="1:7" ht="19.95" customHeight="1" x14ac:dyDescent="0.25">
      <c r="A220" s="13" t="str">
        <f>"11928"</f>
        <v>11928</v>
      </c>
      <c r="B220" s="75" t="s">
        <v>221</v>
      </c>
      <c r="C220" s="13" t="str">
        <f>"33.8"</f>
        <v>33.8</v>
      </c>
      <c r="D220" s="15">
        <f>(C220*1.13274336283)+(-1)</f>
        <v>37.286725663654003</v>
      </c>
      <c r="E220" s="16">
        <f>(C220*1.09734513274)+(-3.7)</f>
        <v>33.390265486611987</v>
      </c>
      <c r="F220" s="17">
        <f>(C220*1.13274336283)+(-0.2)</f>
        <v>38.086725663654001</v>
      </c>
      <c r="G220" s="17">
        <f>(C220*1.09734513274)+(-2.6)</f>
        <v>34.490265486611989</v>
      </c>
    </row>
    <row r="221" spans="1:7" ht="19.95" customHeight="1" x14ac:dyDescent="0.25">
      <c r="A221" s="13" t="str">
        <f>"80373"</f>
        <v>80373</v>
      </c>
      <c r="B221" s="75" t="s">
        <v>222</v>
      </c>
      <c r="C221" s="13" t="str">
        <f>"17.4"</f>
        <v>17.4</v>
      </c>
      <c r="D221" s="15">
        <f>(C221*1.13274336283)+(-1)</f>
        <v>18.709734513242001</v>
      </c>
      <c r="E221" s="16">
        <f>(C221*1.09734513274)+(-3.7)</f>
        <v>15.393805309675997</v>
      </c>
      <c r="F221" s="17">
        <f>(C221*1.13274336283)+(-0.2)</f>
        <v>19.509734513242002</v>
      </c>
      <c r="G221" s="17">
        <f>(C221*1.09734513274)+(-2.6)</f>
        <v>16.493805309675995</v>
      </c>
    </row>
    <row r="222" spans="1:7" ht="19.95" customHeight="1" x14ac:dyDescent="0.25">
      <c r="A222" s="13" t="str">
        <f>"1014166"</f>
        <v>1014166</v>
      </c>
      <c r="B222" s="75" t="s">
        <v>223</v>
      </c>
      <c r="C222" s="13" t="s">
        <v>76</v>
      </c>
      <c r="D222" s="15" t="s">
        <v>77</v>
      </c>
      <c r="E222" s="16" t="s">
        <v>77</v>
      </c>
      <c r="F222" s="17" t="s">
        <v>77</v>
      </c>
      <c r="G222" s="17" t="s">
        <v>77</v>
      </c>
    </row>
    <row r="223" spans="1:7" ht="19.95" customHeight="1" x14ac:dyDescent="0.25">
      <c r="A223" s="13" t="str">
        <f>"74994"</f>
        <v>74994</v>
      </c>
      <c r="B223" s="75" t="s">
        <v>224</v>
      </c>
      <c r="C223" s="13" t="str">
        <f>"21.0"</f>
        <v>21.0</v>
      </c>
      <c r="D223" s="15">
        <f>(C223*1.13274336283)+(-1)</f>
        <v>22.787610619430001</v>
      </c>
      <c r="E223" s="16">
        <f>(C223*1.09734513274)+(-3.7)</f>
        <v>19.344247787539999</v>
      </c>
      <c r="F223" s="17">
        <f>(C223*1.13274336283)+(-0.2)</f>
        <v>23.587610619430002</v>
      </c>
      <c r="G223" s="17">
        <f>(C223*1.09734513274)+(-2.6)</f>
        <v>20.444247787539997</v>
      </c>
    </row>
    <row r="224" spans="1:7" ht="19.95" customHeight="1" x14ac:dyDescent="0.25">
      <c r="A224" s="13" t="str">
        <f>"17552"</f>
        <v>17552</v>
      </c>
      <c r="B224" s="75" t="s">
        <v>225</v>
      </c>
      <c r="C224" s="13" t="str">
        <f>"18.1"</f>
        <v>18.1</v>
      </c>
      <c r="D224" s="15">
        <f>(C224*1.13274336283)+(-1)</f>
        <v>19.502654867223004</v>
      </c>
      <c r="E224" s="16">
        <f>(C224*1.09734513274)+(-3.7)</f>
        <v>16.161946902594</v>
      </c>
      <c r="F224" s="17">
        <f>(C224*1.13274336283)+(-0.2)</f>
        <v>20.302654867223005</v>
      </c>
      <c r="G224" s="17">
        <f>(C224*1.09734513274)+(-2.6)</f>
        <v>17.261946902593998</v>
      </c>
    </row>
    <row r="225" spans="1:7" ht="19.95" customHeight="1" x14ac:dyDescent="0.25">
      <c r="A225" s="13" t="str">
        <f>"1004288"</f>
        <v>1004288</v>
      </c>
      <c r="B225" s="75" t="s">
        <v>226</v>
      </c>
      <c r="C225" s="13" t="str">
        <f>"28.4"</f>
        <v>28.4</v>
      </c>
      <c r="D225" s="15">
        <f>(C225*1.13274336283)+(-1)</f>
        <v>31.169911504372003</v>
      </c>
      <c r="E225" s="16">
        <f>(C225*1.09734513274)+(-3.7)</f>
        <v>27.464601769815996</v>
      </c>
      <c r="F225" s="17">
        <f>(C225*1.13274336283)+(-0.2)</f>
        <v>31.969911504372003</v>
      </c>
      <c r="G225" s="17">
        <f>(C225*1.09734513274)+(-2.6)</f>
        <v>28.564601769815994</v>
      </c>
    </row>
    <row r="226" spans="1:7" ht="19.95" customHeight="1" x14ac:dyDescent="0.25">
      <c r="A226" s="13" t="str">
        <f>"17554"</f>
        <v>17554</v>
      </c>
      <c r="B226" s="75" t="s">
        <v>227</v>
      </c>
      <c r="C226" s="13" t="str">
        <f>"22.8"</f>
        <v>22.8</v>
      </c>
      <c r="D226" s="15">
        <f>(C226*1.13274336283)+(-1)</f>
        <v>24.826548672524002</v>
      </c>
      <c r="E226" s="16">
        <f>(C226*1.09734513274)+(-3.7)</f>
        <v>21.319469026471999</v>
      </c>
      <c r="F226" s="17">
        <f>(C226*1.13274336283)+(-0.2)</f>
        <v>25.626548672524002</v>
      </c>
      <c r="G226" s="17">
        <f>(C226*1.09734513274)+(-2.6)</f>
        <v>22.419469026471997</v>
      </c>
    </row>
    <row r="227" spans="1:7" ht="19.95" customHeight="1" x14ac:dyDescent="0.25">
      <c r="A227" s="13" t="str">
        <f>"1015384"</f>
        <v>1015384</v>
      </c>
      <c r="B227" s="75" t="s">
        <v>228</v>
      </c>
      <c r="C227" s="13" t="str">
        <f>"33.2"</f>
        <v>33.2</v>
      </c>
      <c r="D227" s="15">
        <f>(C227*1.13274336283)+(-1)</f>
        <v>36.607079645956006</v>
      </c>
      <c r="E227" s="16">
        <f>(C227*1.09734513274)+(-3.7)</f>
        <v>32.731858406967994</v>
      </c>
      <c r="F227" s="17">
        <f>(C227*1.13274336283)+(-0.2)</f>
        <v>37.407079645956003</v>
      </c>
      <c r="G227" s="17">
        <f>(C227*1.09734513274)+(-2.6)</f>
        <v>33.831858406967996</v>
      </c>
    </row>
    <row r="228" spans="1:7" ht="19.95" customHeight="1" x14ac:dyDescent="0.25">
      <c r="A228" s="13" t="str">
        <f>"1011805"</f>
        <v>1011805</v>
      </c>
      <c r="B228" s="75" t="s">
        <v>229</v>
      </c>
      <c r="C228" s="13" t="str">
        <f>"35.0"</f>
        <v>35.0</v>
      </c>
      <c r="D228" s="15">
        <f>(C228*1.13274336283)+(-1)</f>
        <v>38.646017699050006</v>
      </c>
      <c r="E228" s="16">
        <f>(C228*1.09734513274)+(-3.7)</f>
        <v>34.707079645899995</v>
      </c>
      <c r="F228" s="17">
        <f>(C228*1.13274336283)+(-0.2)</f>
        <v>39.446017699050003</v>
      </c>
      <c r="G228" s="17">
        <f>(C228*1.09734513274)+(-2.6)</f>
        <v>35.807079645899996</v>
      </c>
    </row>
    <row r="229" spans="1:7" ht="19.95" customHeight="1" x14ac:dyDescent="0.25">
      <c r="A229" s="13" t="str">
        <f>"1012465"</f>
        <v>1012465</v>
      </c>
      <c r="B229" s="75" t="s">
        <v>230</v>
      </c>
      <c r="C229" s="13" t="str">
        <f>"22.4"</f>
        <v>22.4</v>
      </c>
      <c r="D229" s="15">
        <f>(C229*1.13274336283)+(-1)</f>
        <v>24.373451327392001</v>
      </c>
      <c r="E229" s="16">
        <f>(C229*1.09734513274)+(-3.7)</f>
        <v>20.880530973375997</v>
      </c>
      <c r="F229" s="17">
        <f>(C229*1.13274336283)+(-0.2)</f>
        <v>25.173451327392002</v>
      </c>
      <c r="G229" s="17">
        <f>(C229*1.09734513274)+(-2.6)</f>
        <v>21.980530973375995</v>
      </c>
    </row>
    <row r="230" spans="1:7" ht="19.95" customHeight="1" x14ac:dyDescent="0.25">
      <c r="A230" s="13" t="str">
        <f>"1012996"</f>
        <v>1012996</v>
      </c>
      <c r="B230" s="75" t="s">
        <v>231</v>
      </c>
      <c r="C230" s="13" t="str">
        <f>"32.5"</f>
        <v>32.5</v>
      </c>
      <c r="D230" s="15">
        <f>(C230*1.13274336283)+(-1)</f>
        <v>35.814159291975002</v>
      </c>
      <c r="E230" s="16">
        <f>(C230*1.09734513274)+(-3.7)</f>
        <v>31.963716814049999</v>
      </c>
      <c r="F230" s="17">
        <f>(C230*1.13274336283)+(-0.2)</f>
        <v>36.614159291975</v>
      </c>
      <c r="G230" s="17">
        <f>(C230*1.09734513274)+(-2.6)</f>
        <v>33.063716814049997</v>
      </c>
    </row>
    <row r="231" spans="1:7" ht="19.95" customHeight="1" x14ac:dyDescent="0.25">
      <c r="A231" s="13" t="str">
        <f>"5211"</f>
        <v>5211</v>
      </c>
      <c r="B231" s="75" t="s">
        <v>232</v>
      </c>
      <c r="C231" s="13" t="str">
        <f>"9.9"</f>
        <v>9.9</v>
      </c>
      <c r="D231" s="15">
        <f>(C231*1.13274336283)+(-1)</f>
        <v>10.214159292017001</v>
      </c>
      <c r="E231" s="16">
        <f>(C231*1.09734513274)+(-3.7)</f>
        <v>7.1637168141259986</v>
      </c>
      <c r="F231" s="17">
        <f>(C231*1.13274336283)+(-0.2)</f>
        <v>11.014159292017002</v>
      </c>
      <c r="G231" s="17">
        <f>(C231*1.09734513274)+(-2.6)</f>
        <v>8.2637168141259991</v>
      </c>
    </row>
    <row r="232" spans="1:7" ht="19.95" customHeight="1" x14ac:dyDescent="0.25">
      <c r="A232" s="13" t="str">
        <f>"13957"</f>
        <v>13957</v>
      </c>
      <c r="B232" s="75" t="s">
        <v>233</v>
      </c>
      <c r="C232" s="13" t="str">
        <f>"28.1"</f>
        <v>28.1</v>
      </c>
      <c r="D232" s="15">
        <f>(C232*1.13274336283)+(-1)</f>
        <v>30.830088495523004</v>
      </c>
      <c r="E232" s="16">
        <f>(C232*1.09734513274)+(-3.7)</f>
        <v>27.135398229993999</v>
      </c>
      <c r="F232" s="17">
        <f>(C232*1.13274336283)+(-0.2)</f>
        <v>31.630088495523005</v>
      </c>
      <c r="G232" s="17">
        <f>(C232*1.09734513274)+(-2.6)</f>
        <v>28.235398229993997</v>
      </c>
    </row>
    <row r="233" spans="1:7" ht="19.95" customHeight="1" x14ac:dyDescent="0.25">
      <c r="A233" s="13" t="str">
        <f>"17560"</f>
        <v>17560</v>
      </c>
      <c r="B233" s="75" t="s">
        <v>234</v>
      </c>
      <c r="C233" s="13" t="str">
        <f>"44.1"</f>
        <v>44.1</v>
      </c>
      <c r="D233" s="15">
        <f>(C233*1.13274336283)+(-1)</f>
        <v>48.953982300803006</v>
      </c>
      <c r="E233" s="16">
        <f>(C233*1.09734513274)+(-3.7)</f>
        <v>44.692920353833998</v>
      </c>
      <c r="F233" s="17">
        <f>(C233*1.13274336283)+(-0.2)</f>
        <v>49.753982300803003</v>
      </c>
      <c r="G233" s="17">
        <f>(C233*1.09734513274)+(-2.6)</f>
        <v>45.792920353833999</v>
      </c>
    </row>
    <row r="234" spans="1:7" ht="19.95" customHeight="1" x14ac:dyDescent="0.25">
      <c r="A234" s="13" t="str">
        <f>"61941"</f>
        <v>61941</v>
      </c>
      <c r="B234" s="75" t="s">
        <v>235</v>
      </c>
      <c r="C234" s="13" t="str">
        <f>"19.2"</f>
        <v>19.2</v>
      </c>
      <c r="D234" s="15">
        <f>(C234*1.13274336283)+(-1)</f>
        <v>20.748672566336001</v>
      </c>
      <c r="E234" s="16">
        <f>(C234*1.09734513274)+(-3.7)</f>
        <v>17.369026548607998</v>
      </c>
      <c r="F234" s="17">
        <f>(C234*1.13274336283)+(-0.2)</f>
        <v>21.548672566336002</v>
      </c>
      <c r="G234" s="17">
        <f>(C234*1.09734513274)+(-2.6)</f>
        <v>18.469026548607996</v>
      </c>
    </row>
    <row r="235" spans="1:7" ht="19.95" customHeight="1" x14ac:dyDescent="0.25">
      <c r="A235" s="13" t="str">
        <f>"54383"</f>
        <v>54383</v>
      </c>
      <c r="B235" s="75" t="s">
        <v>236</v>
      </c>
      <c r="C235" s="13" t="str">
        <f>"30.3"</f>
        <v>30.3</v>
      </c>
      <c r="D235" s="15">
        <f>(C235*1.13274336283)+(-1)</f>
        <v>33.322123893749001</v>
      </c>
      <c r="E235" s="16">
        <f>(C235*1.09734513274)+(-3.7)</f>
        <v>29.549557522021995</v>
      </c>
      <c r="F235" s="17">
        <f>(C235*1.13274336283)+(-0.2)</f>
        <v>34.122123893748999</v>
      </c>
      <c r="G235" s="17">
        <f>(C235*1.09734513274)+(-2.6)</f>
        <v>30.649557522021993</v>
      </c>
    </row>
    <row r="236" spans="1:7" ht="19.95" customHeight="1" x14ac:dyDescent="0.25">
      <c r="A236" s="13" t="str">
        <f>"20711"</f>
        <v>20711</v>
      </c>
      <c r="B236" s="75" t="s">
        <v>237</v>
      </c>
      <c r="C236" s="13" t="str">
        <f>"24.9"</f>
        <v>24.9</v>
      </c>
      <c r="D236" s="15">
        <f>(C236*1.13274336283)+(-1)</f>
        <v>27.205309734467001</v>
      </c>
      <c r="E236" s="16">
        <f>(C236*1.09734513274)+(-3.7)</f>
        <v>23.623893805225997</v>
      </c>
      <c r="F236" s="17">
        <f>(C236*1.13274336283)+(-0.2)</f>
        <v>28.005309734467001</v>
      </c>
      <c r="G236" s="17">
        <f>(C236*1.09734513274)+(-2.6)</f>
        <v>24.723893805225995</v>
      </c>
    </row>
    <row r="237" spans="1:7" ht="19.95" customHeight="1" x14ac:dyDescent="0.25">
      <c r="A237" s="13" t="str">
        <f>"38893"</f>
        <v>38893</v>
      </c>
      <c r="B237" s="75" t="s">
        <v>238</v>
      </c>
      <c r="C237" s="13" t="str">
        <f>"16.5"</f>
        <v>16.5</v>
      </c>
      <c r="D237" s="15">
        <f>(C237*1.13274336283)+(-1)</f>
        <v>17.690265486695001</v>
      </c>
      <c r="E237" s="16">
        <f>(C237*1.09734513274)+(-3.7)</f>
        <v>14.40619469021</v>
      </c>
      <c r="F237" s="17">
        <f>(C237*1.13274336283)+(-0.2)</f>
        <v>18.490265486695002</v>
      </c>
      <c r="G237" s="17">
        <f>(C237*1.09734513274)+(-2.6)</f>
        <v>15.50619469021</v>
      </c>
    </row>
    <row r="238" spans="1:7" ht="19.95" customHeight="1" x14ac:dyDescent="0.25">
      <c r="A238" s="13" t="str">
        <f>"67975"</f>
        <v>67975</v>
      </c>
      <c r="B238" s="75" t="s">
        <v>239</v>
      </c>
      <c r="C238" s="13" t="str">
        <f>"35.2"</f>
        <v>35.2</v>
      </c>
      <c r="D238" s="15">
        <f>(C238*1.13274336283)+(-1)</f>
        <v>38.87256637161601</v>
      </c>
      <c r="E238" s="16">
        <f>(C238*1.09734513274)+(-3.7)</f>
        <v>34.926548672448</v>
      </c>
      <c r="F238" s="17">
        <f>(C238*1.13274336283)+(-0.2)</f>
        <v>39.672566371616007</v>
      </c>
      <c r="G238" s="17">
        <f>(C238*1.09734513274)+(-2.6)</f>
        <v>36.026548672448001</v>
      </c>
    </row>
    <row r="239" spans="1:7" ht="19.95" customHeight="1" x14ac:dyDescent="0.25">
      <c r="A239" s="13" t="str">
        <f>"17570"</f>
        <v>17570</v>
      </c>
      <c r="B239" s="75" t="s">
        <v>240</v>
      </c>
      <c r="C239" s="13" t="str">
        <f>"25.8"</f>
        <v>25.8</v>
      </c>
      <c r="D239" s="15">
        <f>(C239*1.13274336283)+(-1)</f>
        <v>28.224778761014004</v>
      </c>
      <c r="E239" s="16">
        <f>(C239*1.09734513274)+(-3.7)</f>
        <v>24.611504424691997</v>
      </c>
      <c r="F239" s="17">
        <f>(C239*1.13274336283)+(-0.2)</f>
        <v>29.024778761014005</v>
      </c>
      <c r="G239" s="17">
        <f>(C239*1.09734513274)+(-2.6)</f>
        <v>25.711504424691995</v>
      </c>
    </row>
    <row r="240" spans="1:7" ht="19.95" customHeight="1" x14ac:dyDescent="0.25">
      <c r="A240" s="13" t="str">
        <f>"80096"</f>
        <v>80096</v>
      </c>
      <c r="B240" s="75" t="s">
        <v>241</v>
      </c>
      <c r="C240" s="13" t="str">
        <f>"24.0"</f>
        <v>24.0</v>
      </c>
      <c r="D240" s="15">
        <f>(C240*1.13274336283)+(-1)</f>
        <v>26.185840707920001</v>
      </c>
      <c r="E240" s="16">
        <f>(C240*1.09734513274)+(-3.7)</f>
        <v>22.636283185759996</v>
      </c>
      <c r="F240" s="17">
        <f>(C240*1.13274336283)+(-0.2)</f>
        <v>26.985840707920001</v>
      </c>
      <c r="G240" s="17">
        <f>(C240*1.09734513274)+(-2.6)</f>
        <v>23.736283185759994</v>
      </c>
    </row>
    <row r="241" spans="1:7" ht="19.95" customHeight="1" x14ac:dyDescent="0.25">
      <c r="A241" s="13" t="str">
        <f>"1015749"</f>
        <v>1015749</v>
      </c>
      <c r="B241" s="75" t="s">
        <v>242</v>
      </c>
      <c r="C241" s="13" t="str">
        <f>"40.2"</f>
        <v>40.2</v>
      </c>
      <c r="D241" s="15">
        <f>(C241*1.13274336283)+(-1)</f>
        <v>44.53628318576601</v>
      </c>
      <c r="E241" s="16">
        <f>(C241*1.09734513274)+(-3.7)</f>
        <v>40.413274336148</v>
      </c>
      <c r="F241" s="17">
        <f>(C241*1.13274336283)+(-0.2)</f>
        <v>45.336283185766007</v>
      </c>
      <c r="G241" s="17">
        <f>(C241*1.09734513274)+(-2.6)</f>
        <v>41.513274336148001</v>
      </c>
    </row>
    <row r="242" spans="1:7" ht="19.95" customHeight="1" x14ac:dyDescent="0.25">
      <c r="A242" s="13" t="str">
        <f>"1005161"</f>
        <v>1005161</v>
      </c>
      <c r="B242" s="75" t="s">
        <v>243</v>
      </c>
      <c r="C242" s="13" t="str">
        <f>"25.0"</f>
        <v>25.0</v>
      </c>
      <c r="D242" s="15">
        <f>(C242*1.13274336283)+(-1)</f>
        <v>27.318584070750003</v>
      </c>
      <c r="E242" s="16">
        <f>(C242*1.09734513274)+(-3.7)</f>
        <v>23.733628318499999</v>
      </c>
      <c r="F242" s="17">
        <f>(C242*1.13274336283)+(-0.2)</f>
        <v>28.118584070750003</v>
      </c>
      <c r="G242" s="17">
        <f>(C242*1.09734513274)+(-2.6)</f>
        <v>24.833628318499997</v>
      </c>
    </row>
    <row r="243" spans="1:7" ht="19.95" customHeight="1" x14ac:dyDescent="0.25">
      <c r="A243" s="13" t="str">
        <f>"47292"</f>
        <v>47292</v>
      </c>
      <c r="B243" s="75" t="s">
        <v>244</v>
      </c>
      <c r="C243" s="13" t="str">
        <f>"16.3"</f>
        <v>16.3</v>
      </c>
      <c r="D243" s="15">
        <f>(C243*1.13274336283)+(-1)</f>
        <v>17.463716814129004</v>
      </c>
      <c r="E243" s="16">
        <f>(C243*1.09734513274)+(-3.7)</f>
        <v>14.186725663661999</v>
      </c>
      <c r="F243" s="17">
        <f>(C243*1.13274336283)+(-0.2)</f>
        <v>18.263716814129005</v>
      </c>
      <c r="G243" s="17">
        <f>(C243*1.09734513274)+(-2.6)</f>
        <v>15.286725663661999</v>
      </c>
    </row>
    <row r="244" spans="1:7" ht="19.95" customHeight="1" x14ac:dyDescent="0.25">
      <c r="A244" s="13" t="str">
        <f>"1008264"</f>
        <v>1008264</v>
      </c>
      <c r="B244" s="75" t="s">
        <v>245</v>
      </c>
      <c r="C244" s="13" t="str">
        <f>"41.9"</f>
        <v>41.9</v>
      </c>
      <c r="D244" s="15">
        <f>(C244*1.13274336283)+(-1)</f>
        <v>46.461946902577004</v>
      </c>
      <c r="E244" s="16">
        <f>(C244*1.09734513274)+(-3.7)</f>
        <v>42.278761061805994</v>
      </c>
      <c r="F244" s="17">
        <f>(C244*1.13274336283)+(-0.2)</f>
        <v>47.261946902577002</v>
      </c>
      <c r="G244" s="17">
        <f>(C244*1.09734513274)+(-2.6)</f>
        <v>43.378761061805996</v>
      </c>
    </row>
    <row r="245" spans="1:7" ht="19.95" customHeight="1" x14ac:dyDescent="0.25">
      <c r="A245" s="13" t="str">
        <f>"1003952"</f>
        <v>1003952</v>
      </c>
      <c r="B245" s="75" t="s">
        <v>246</v>
      </c>
      <c r="C245" s="13" t="str">
        <f>"30.9"</f>
        <v>30.9</v>
      </c>
      <c r="D245" s="15">
        <f>(C245*1.13274336283)+(-1)</f>
        <v>34.001769911446999</v>
      </c>
      <c r="E245" s="16">
        <f>(C245*1.09734513274)+(-3.7)</f>
        <v>30.207964601665996</v>
      </c>
      <c r="F245" s="17">
        <f>(C245*1.13274336283)+(-0.2)</f>
        <v>34.801769911446996</v>
      </c>
      <c r="G245" s="17">
        <f>(C245*1.09734513274)+(-2.6)</f>
        <v>31.307964601665994</v>
      </c>
    </row>
    <row r="246" spans="1:7" ht="19.95" customHeight="1" x14ac:dyDescent="0.25">
      <c r="A246" s="13" t="str">
        <f>"1005736"</f>
        <v>1005736</v>
      </c>
      <c r="B246" s="75" t="s">
        <v>247</v>
      </c>
      <c r="C246" s="13" t="str">
        <f>"26.2"</f>
        <v>26.2</v>
      </c>
      <c r="D246" s="15">
        <f>(C246*1.13274336283)+(-1)</f>
        <v>28.677876106146002</v>
      </c>
      <c r="E246" s="16">
        <f>(C246*1.09734513274)+(-3.7)</f>
        <v>25.050442477787996</v>
      </c>
      <c r="F246" s="17">
        <f>(C246*1.13274336283)+(-0.2)</f>
        <v>29.477876106146002</v>
      </c>
      <c r="G246" s="17">
        <f>(C246*1.09734513274)+(-2.6)</f>
        <v>26.150442477787994</v>
      </c>
    </row>
    <row r="247" spans="1:7" ht="19.95" customHeight="1" x14ac:dyDescent="0.25">
      <c r="A247" s="13" t="str">
        <f>"1010779"</f>
        <v>1010779</v>
      </c>
      <c r="B247" s="75" t="s">
        <v>248</v>
      </c>
      <c r="C247" s="13" t="str">
        <f>"16.7"</f>
        <v>16.7</v>
      </c>
      <c r="D247" s="15">
        <f>(C247*1.13274336283)+(-1)</f>
        <v>17.916814159261001</v>
      </c>
      <c r="E247" s="16">
        <f>(C247*1.09734513274)+(-3.7)</f>
        <v>14.625663716757998</v>
      </c>
      <c r="F247" s="17">
        <f>(C247*1.13274336283)+(-0.2)</f>
        <v>18.716814159261002</v>
      </c>
      <c r="G247" s="17">
        <f>(C247*1.09734513274)+(-2.6)</f>
        <v>15.725663716757998</v>
      </c>
    </row>
    <row r="248" spans="1:7" ht="19.95" customHeight="1" x14ac:dyDescent="0.25">
      <c r="A248" s="13" t="str">
        <f>"81278"</f>
        <v>81278</v>
      </c>
      <c r="B248" s="75" t="s">
        <v>249</v>
      </c>
      <c r="C248" s="13" t="str">
        <f>"21.0"</f>
        <v>21.0</v>
      </c>
      <c r="D248" s="15">
        <f>(C248*1.13274336283)+(-1)</f>
        <v>22.787610619430001</v>
      </c>
      <c r="E248" s="16">
        <f>(C248*1.09734513274)+(-3.7)</f>
        <v>19.344247787539999</v>
      </c>
      <c r="F248" s="17">
        <f>(C248*1.13274336283)+(-0.2)</f>
        <v>23.587610619430002</v>
      </c>
      <c r="G248" s="17">
        <f>(C248*1.09734513274)+(-2.6)</f>
        <v>20.444247787539997</v>
      </c>
    </row>
    <row r="249" spans="1:7" ht="19.95" customHeight="1" x14ac:dyDescent="0.25">
      <c r="A249" s="13" t="str">
        <f>"48469"</f>
        <v>48469</v>
      </c>
      <c r="B249" s="75" t="s">
        <v>250</v>
      </c>
      <c r="C249" s="13" t="str">
        <f>"23.3"</f>
        <v>23.3</v>
      </c>
      <c r="D249" s="15">
        <f>(C249*1.13274336283)+(-1)</f>
        <v>25.392920353939004</v>
      </c>
      <c r="E249" s="16">
        <f>(C249*1.09734513274)+(-3.7)</f>
        <v>21.868141592841997</v>
      </c>
      <c r="F249" s="17">
        <f>(C249*1.13274336283)+(-0.2)</f>
        <v>26.192920353939005</v>
      </c>
      <c r="G249" s="17">
        <f>(C249*1.09734513274)+(-2.6)</f>
        <v>22.968141592841995</v>
      </c>
    </row>
    <row r="250" spans="1:7" ht="19.95" customHeight="1" x14ac:dyDescent="0.25">
      <c r="A250" s="13" t="str">
        <f>"1010754"</f>
        <v>1010754</v>
      </c>
      <c r="B250" s="75" t="s">
        <v>251</v>
      </c>
      <c r="C250" s="13" t="s">
        <v>76</v>
      </c>
      <c r="D250" s="15" t="s">
        <v>77</v>
      </c>
      <c r="E250" s="16" t="s">
        <v>77</v>
      </c>
      <c r="F250" s="17" t="s">
        <v>77</v>
      </c>
      <c r="G250" s="17" t="s">
        <v>77</v>
      </c>
    </row>
    <row r="251" spans="1:7" ht="19.95" customHeight="1" x14ac:dyDescent="0.25">
      <c r="A251" s="13" t="str">
        <f>"1007655"</f>
        <v>1007655</v>
      </c>
      <c r="B251" s="75" t="s">
        <v>252</v>
      </c>
      <c r="C251" s="13" t="str">
        <f>"37.0"</f>
        <v>37.0</v>
      </c>
      <c r="D251" s="15">
        <f>(C251*1.13274336283)+(-1)</f>
        <v>40.911504424710003</v>
      </c>
      <c r="E251" s="16">
        <f>(C251*1.09734513274)+(-3.7)</f>
        <v>36.901769911379994</v>
      </c>
      <c r="F251" s="17">
        <f>(C251*1.13274336283)+(-0.2)</f>
        <v>41.71150442471</v>
      </c>
      <c r="G251" s="17">
        <f>(C251*1.09734513274)+(-2.6)</f>
        <v>38.001769911379995</v>
      </c>
    </row>
    <row r="252" spans="1:7" ht="19.95" customHeight="1" x14ac:dyDescent="0.25">
      <c r="A252" s="13" t="str">
        <f>"1014857"</f>
        <v>1014857</v>
      </c>
      <c r="B252" s="75" t="s">
        <v>253</v>
      </c>
      <c r="C252" s="13" t="str">
        <f>"29.5"</f>
        <v>29.5</v>
      </c>
      <c r="D252" s="15">
        <f>(C252*1.13274336283)+(-1)</f>
        <v>32.415929203485</v>
      </c>
      <c r="E252" s="16">
        <f>(C252*1.09734513274)+(-3.7)</f>
        <v>28.671681415829998</v>
      </c>
      <c r="F252" s="17">
        <f>(C252*1.13274336283)+(-0.2)</f>
        <v>33.215929203484997</v>
      </c>
      <c r="G252" s="17">
        <f>(C252*1.09734513274)+(-2.6)</f>
        <v>29.771681415829995</v>
      </c>
    </row>
    <row r="253" spans="1:7" ht="19.95" customHeight="1" x14ac:dyDescent="0.25">
      <c r="A253" s="13" t="str">
        <f>"1002104"</f>
        <v>1002104</v>
      </c>
      <c r="B253" s="75" t="s">
        <v>254</v>
      </c>
      <c r="C253" s="13" t="str">
        <f>"34.8"</f>
        <v>34.8</v>
      </c>
      <c r="D253" s="15">
        <f>(C253*1.13274336283)+(-1)</f>
        <v>38.419469026484002</v>
      </c>
      <c r="E253" s="16">
        <f>(C253*1.09734513274)+(-3.7)</f>
        <v>34.48761061935199</v>
      </c>
      <c r="F253" s="17">
        <f>(C253*1.13274336283)+(-0.2)</f>
        <v>39.219469026483999</v>
      </c>
      <c r="G253" s="17">
        <f>(C253*1.09734513274)+(-2.6)</f>
        <v>35.587610619351992</v>
      </c>
    </row>
    <row r="254" spans="1:7" ht="19.95" customHeight="1" x14ac:dyDescent="0.25">
      <c r="A254" s="13" t="str">
        <f>"1002302"</f>
        <v>1002302</v>
      </c>
      <c r="B254" s="75" t="s">
        <v>255</v>
      </c>
      <c r="C254" s="13" t="str">
        <f>"32.3"</f>
        <v>32.3</v>
      </c>
      <c r="D254" s="15">
        <f>(C254*1.13274336283)+(-1)</f>
        <v>35.587610619408999</v>
      </c>
      <c r="E254" s="16">
        <f>(C254*1.09734513274)+(-3.7)</f>
        <v>31.744247787501994</v>
      </c>
      <c r="F254" s="17">
        <f>(C254*1.13274336283)+(-0.2)</f>
        <v>36.387610619408996</v>
      </c>
      <c r="G254" s="17">
        <f>(C254*1.09734513274)+(-2.6)</f>
        <v>32.844247787501992</v>
      </c>
    </row>
    <row r="255" spans="1:7" ht="19.95" customHeight="1" x14ac:dyDescent="0.25">
      <c r="A255" s="13" t="str">
        <f>"4621"</f>
        <v>4621</v>
      </c>
      <c r="B255" s="75" t="s">
        <v>256</v>
      </c>
      <c r="C255" s="13" t="str">
        <f>"26.3"</f>
        <v>26.3</v>
      </c>
      <c r="D255" s="15">
        <f>(C255*1.13274336283)+(-1)</f>
        <v>28.791150442429004</v>
      </c>
      <c r="E255" s="16">
        <f>(C255*1.09734513274)+(-3.7)</f>
        <v>25.160176991061999</v>
      </c>
      <c r="F255" s="17">
        <f>(C255*1.13274336283)+(-0.2)</f>
        <v>29.591150442429004</v>
      </c>
      <c r="G255" s="17">
        <f>(C255*1.09734513274)+(-2.6)</f>
        <v>26.260176991061996</v>
      </c>
    </row>
    <row r="256" spans="1:7" ht="19.95" customHeight="1" x14ac:dyDescent="0.25">
      <c r="A256" s="13" t="str">
        <f>"1014176"</f>
        <v>1014176</v>
      </c>
      <c r="B256" s="75" t="s">
        <v>257</v>
      </c>
      <c r="C256" s="13" t="str">
        <f>"7.1"</f>
        <v>7.1</v>
      </c>
      <c r="D256" s="15">
        <f>(C256*1.13274336283)+(-1)</f>
        <v>7.0424778760930007</v>
      </c>
      <c r="E256" s="16">
        <f>(C256*1.09734513274)+(-3.7)</f>
        <v>4.0911504424539986</v>
      </c>
      <c r="F256" s="17">
        <f>(C256*1.13274336283)+(-0.2)</f>
        <v>7.8424778760930005</v>
      </c>
      <c r="G256" s="17">
        <f>(C256*1.09734513274)+(-2.6)</f>
        <v>5.1911504424539991</v>
      </c>
    </row>
    <row r="257" spans="1:7" ht="19.95" customHeight="1" x14ac:dyDescent="0.25">
      <c r="A257" s="13" t="str">
        <f>"1015291"</f>
        <v>1015291</v>
      </c>
      <c r="B257" s="75" t="s">
        <v>258</v>
      </c>
      <c r="C257" s="13" t="str">
        <f>"6.8"</f>
        <v>6.8</v>
      </c>
      <c r="D257" s="15">
        <f>(C257*1.13274336283)+(-1)</f>
        <v>6.7026548672440001</v>
      </c>
      <c r="E257" s="16">
        <f>(C257*1.09734513274)+(-3.7)</f>
        <v>3.7619469026319985</v>
      </c>
      <c r="F257" s="17">
        <f>(C257*1.13274336283)+(-0.2)</f>
        <v>7.5026548672439999</v>
      </c>
      <c r="G257" s="17">
        <f>(C257*1.09734513274)+(-2.6)</f>
        <v>4.861946902631999</v>
      </c>
    </row>
    <row r="258" spans="1:7" ht="19.95" customHeight="1" x14ac:dyDescent="0.25">
      <c r="A258" s="13" t="str">
        <f>"70437"</f>
        <v>70437</v>
      </c>
      <c r="B258" s="75" t="s">
        <v>259</v>
      </c>
      <c r="C258" s="13" t="str">
        <f>"19.7"</f>
        <v>19.7</v>
      </c>
      <c r="D258" s="15">
        <f>(C258*1.13274336283)+(-1)</f>
        <v>21.315044247751</v>
      </c>
      <c r="E258" s="16">
        <f>(C258*1.09734513274)+(-3.7)</f>
        <v>17.917699114977999</v>
      </c>
      <c r="F258" s="17">
        <f>(C258*1.13274336283)+(-0.2)</f>
        <v>22.115044247751001</v>
      </c>
      <c r="G258" s="17">
        <f>(C258*1.09734513274)+(-2.6)</f>
        <v>19.017699114977997</v>
      </c>
    </row>
    <row r="259" spans="1:7" ht="19.95" customHeight="1" x14ac:dyDescent="0.25">
      <c r="A259" s="13" t="str">
        <f>"28727"</f>
        <v>28727</v>
      </c>
      <c r="B259" s="75" t="s">
        <v>260</v>
      </c>
      <c r="C259" s="13" t="str">
        <f>"25.9"</f>
        <v>25.9</v>
      </c>
      <c r="D259" s="15">
        <f>(C259*1.13274336283)+(-1)</f>
        <v>28.338053097296999</v>
      </c>
      <c r="E259" s="16">
        <f>(C259*1.09734513274)+(-3.7)</f>
        <v>24.721238937965996</v>
      </c>
      <c r="F259" s="17">
        <f>(C259*1.13274336283)+(-0.2)</f>
        <v>29.138053097297</v>
      </c>
      <c r="G259" s="17">
        <f>(C259*1.09734513274)+(-2.6)</f>
        <v>25.821238937965994</v>
      </c>
    </row>
    <row r="260" spans="1:7" ht="19.95" customHeight="1" x14ac:dyDescent="0.25">
      <c r="A260" s="13" t="str">
        <f>"74404"</f>
        <v>74404</v>
      </c>
      <c r="B260" s="75" t="s">
        <v>261</v>
      </c>
      <c r="C260" s="13" t="str">
        <f>"37.8"</f>
        <v>37.8</v>
      </c>
      <c r="D260" s="15">
        <f>(C260*1.13274336283)+(-1)</f>
        <v>41.817699114973998</v>
      </c>
      <c r="E260" s="16">
        <f>(C260*1.09734513274)+(-3.7)</f>
        <v>37.779646017571991</v>
      </c>
      <c r="F260" s="17">
        <f>(C260*1.13274336283)+(-0.2)</f>
        <v>42.617699114973995</v>
      </c>
      <c r="G260" s="17">
        <f>(C260*1.09734513274)+(-2.6)</f>
        <v>38.879646017571993</v>
      </c>
    </row>
    <row r="261" spans="1:7" ht="19.95" customHeight="1" x14ac:dyDescent="0.25">
      <c r="A261" s="13" t="str">
        <f>"24028"</f>
        <v>24028</v>
      </c>
      <c r="B261" s="75" t="s">
        <v>262</v>
      </c>
      <c r="C261" s="13" t="str">
        <f>"30.5"</f>
        <v>30.5</v>
      </c>
      <c r="D261" s="15">
        <f>(C261*1.13274336283)+(-1)</f>
        <v>33.548672566315005</v>
      </c>
      <c r="E261" s="16">
        <f>(C261*1.09734513274)+(-3.7)</f>
        <v>29.76902654857</v>
      </c>
      <c r="F261" s="17">
        <f>(C261*1.13274336283)+(-0.2)</f>
        <v>34.348672566315003</v>
      </c>
      <c r="G261" s="17">
        <f>(C261*1.09734513274)+(-2.6)</f>
        <v>30.869026548569998</v>
      </c>
    </row>
    <row r="262" spans="1:7" ht="19.95" customHeight="1" x14ac:dyDescent="0.25">
      <c r="A262" s="13" t="str">
        <f>"80750"</f>
        <v>80750</v>
      </c>
      <c r="B262" s="75" t="s">
        <v>263</v>
      </c>
      <c r="C262" s="13" t="str">
        <f>"18.6"</f>
        <v>18.6</v>
      </c>
      <c r="D262" s="15">
        <f>(C262*1.13274336283)+(-1)</f>
        <v>20.069026548638004</v>
      </c>
      <c r="E262" s="16">
        <f>(C262*1.09734513274)+(-3.7)</f>
        <v>16.710619468964001</v>
      </c>
      <c r="F262" s="17">
        <f>(C262*1.13274336283)+(-0.2)</f>
        <v>20.869026548638004</v>
      </c>
      <c r="G262" s="17">
        <f>(C262*1.09734513274)+(-2.6)</f>
        <v>17.810619468963999</v>
      </c>
    </row>
    <row r="263" spans="1:7" ht="19.95" customHeight="1" x14ac:dyDescent="0.25">
      <c r="A263" s="13" t="str">
        <f>"70711"</f>
        <v>70711</v>
      </c>
      <c r="B263" s="75" t="s">
        <v>264</v>
      </c>
      <c r="C263" s="13" t="str">
        <f>"14.1000"</f>
        <v>14.1000</v>
      </c>
      <c r="D263" s="15">
        <f>(C263*1.13274336283)+(-1)</f>
        <v>14.971681415903001</v>
      </c>
      <c r="E263" s="16">
        <f>(C263*1.09734513274)+(-3.7)</f>
        <v>11.772566371633999</v>
      </c>
      <c r="F263" s="17">
        <f>(C263*1.13274336283)+(-0.2)</f>
        <v>15.771681415903002</v>
      </c>
      <c r="G263" s="17">
        <f>(C263*1.09734513274)+(-2.6)</f>
        <v>12.872566371633999</v>
      </c>
    </row>
    <row r="264" spans="1:7" ht="19.95" customHeight="1" x14ac:dyDescent="0.25">
      <c r="A264" s="13" t="str">
        <f>"66970"</f>
        <v>66970</v>
      </c>
      <c r="B264" s="75" t="s">
        <v>265</v>
      </c>
      <c r="C264" s="13" t="str">
        <f>"14.9"</f>
        <v>14.9</v>
      </c>
      <c r="D264" s="15">
        <f>(C264*1.13274336283)+(-1)</f>
        <v>15.877876106167001</v>
      </c>
      <c r="E264" s="16">
        <f>(C264*1.09734513274)+(-3.7)</f>
        <v>12.650442477826001</v>
      </c>
      <c r="F264" s="17">
        <f>(C264*1.13274336283)+(-0.2)</f>
        <v>16.677876106167002</v>
      </c>
      <c r="G264" s="17">
        <f>(C264*1.09734513274)+(-2.6)</f>
        <v>13.750442477826001</v>
      </c>
    </row>
    <row r="265" spans="1:7" ht="19.95" customHeight="1" x14ac:dyDescent="0.25">
      <c r="A265" s="13" t="str">
        <f>"1008268"</f>
        <v>1008268</v>
      </c>
      <c r="B265" s="75" t="s">
        <v>266</v>
      </c>
      <c r="C265" s="13" t="str">
        <f>"30.7"</f>
        <v>30.7</v>
      </c>
      <c r="D265" s="15">
        <f>(C265*1.13274336283)+(-1)</f>
        <v>33.775221238881002</v>
      </c>
      <c r="E265" s="16">
        <f>(C265*1.09734513274)+(-3.7)</f>
        <v>29.988495575117998</v>
      </c>
      <c r="F265" s="17">
        <f>(C265*1.13274336283)+(-0.2)</f>
        <v>34.575221238880999</v>
      </c>
      <c r="G265" s="17">
        <f>(C265*1.09734513274)+(-2.6)</f>
        <v>31.088495575117996</v>
      </c>
    </row>
    <row r="266" spans="1:7" ht="19.95" customHeight="1" x14ac:dyDescent="0.25">
      <c r="A266" s="13" t="str">
        <f>"1008199"</f>
        <v>1008199</v>
      </c>
      <c r="B266" s="75" t="s">
        <v>267</v>
      </c>
      <c r="C266" s="13" t="str">
        <f>"36.0"</f>
        <v>36.0</v>
      </c>
      <c r="D266" s="15">
        <f>(C266*1.13274336283)+(-1)</f>
        <v>39.778761061880004</v>
      </c>
      <c r="E266" s="16">
        <f>(C266*1.09734513274)+(-3.7)</f>
        <v>35.804424778639991</v>
      </c>
      <c r="F266" s="17">
        <f>(C266*1.13274336283)+(-0.2)</f>
        <v>40.578761061880002</v>
      </c>
      <c r="G266" s="17">
        <f>(C266*1.09734513274)+(-2.6)</f>
        <v>36.904424778639992</v>
      </c>
    </row>
    <row r="267" spans="1:7" ht="19.95" customHeight="1" x14ac:dyDescent="0.25">
      <c r="A267" s="13" t="str">
        <f>"1007623"</f>
        <v>1007623</v>
      </c>
      <c r="B267" s="75" t="s">
        <v>268</v>
      </c>
      <c r="C267" s="13" t="str">
        <f>"39.7"</f>
        <v>39.7</v>
      </c>
      <c r="D267" s="15">
        <f>(C267*1.13274336283)+(-1)</f>
        <v>43.96991150435101</v>
      </c>
      <c r="E267" s="16">
        <f>(C267*1.09734513274)+(-3.7)</f>
        <v>39.864601769777998</v>
      </c>
      <c r="F267" s="17">
        <f>(C267*1.13274336283)+(-0.2)</f>
        <v>44.769911504351008</v>
      </c>
      <c r="G267" s="17">
        <f>(C267*1.09734513274)+(-2.6)</f>
        <v>40.964601769778</v>
      </c>
    </row>
    <row r="268" spans="1:7" ht="19.95" customHeight="1" x14ac:dyDescent="0.25">
      <c r="A268" s="13" t="str">
        <f>"24038"</f>
        <v>24038</v>
      </c>
      <c r="B268" s="75" t="s">
        <v>269</v>
      </c>
      <c r="C268" s="13" t="str">
        <f>"22.7"</f>
        <v>22.7</v>
      </c>
      <c r="D268" s="15">
        <f>(C268*1.13274336283)+(-1)</f>
        <v>24.713274336241003</v>
      </c>
      <c r="E268" s="16">
        <f>(C268*1.09734513274)+(-3.7)</f>
        <v>21.209734513197997</v>
      </c>
      <c r="F268" s="17">
        <f>(C268*1.13274336283)+(-0.2)</f>
        <v>25.513274336241004</v>
      </c>
      <c r="G268" s="17">
        <f>(C268*1.09734513274)+(-2.6)</f>
        <v>22.309734513197995</v>
      </c>
    </row>
    <row r="269" spans="1:7" ht="19.95" customHeight="1" x14ac:dyDescent="0.25">
      <c r="A269" s="13" t="str">
        <f>"1007139"</f>
        <v>1007139</v>
      </c>
      <c r="B269" s="75" t="s">
        <v>270</v>
      </c>
      <c r="C269" s="13" t="str">
        <f>"27.8"</f>
        <v>27.8</v>
      </c>
      <c r="D269" s="15">
        <f>(C269*1.13274336283)+(-1)</f>
        <v>30.490265486674005</v>
      </c>
      <c r="E269" s="16">
        <f>(C269*1.09734513274)+(-3.7)</f>
        <v>26.806194690171999</v>
      </c>
      <c r="F269" s="17">
        <f>(C269*1.13274336283)+(-0.2)</f>
        <v>31.290265486674006</v>
      </c>
      <c r="G269" s="17">
        <f>(C269*1.09734513274)+(-2.6)</f>
        <v>27.906194690171997</v>
      </c>
    </row>
    <row r="270" spans="1:7" ht="19.95" customHeight="1" x14ac:dyDescent="0.25">
      <c r="A270" s="13" t="str">
        <f>"17588"</f>
        <v>17588</v>
      </c>
      <c r="B270" s="75" t="s">
        <v>271</v>
      </c>
      <c r="C270" s="13" t="str">
        <f>"15.0"</f>
        <v>15.0</v>
      </c>
      <c r="D270" s="15">
        <f>(C270*1.13274336283)+(-1)</f>
        <v>15.991150442450003</v>
      </c>
      <c r="E270" s="16">
        <f>(C270*1.09734513274)+(-3.7)</f>
        <v>12.7601769911</v>
      </c>
      <c r="F270" s="17">
        <f>(C270*1.13274336283)+(-0.2)</f>
        <v>16.791150442450004</v>
      </c>
      <c r="G270" s="17">
        <f>(C270*1.09734513274)+(-2.6)</f>
        <v>13.860176991099999</v>
      </c>
    </row>
    <row r="271" spans="1:7" ht="19.95" customHeight="1" x14ac:dyDescent="0.25">
      <c r="A271" s="13" t="str">
        <f>"17589"</f>
        <v>17589</v>
      </c>
      <c r="B271" s="75" t="s">
        <v>272</v>
      </c>
      <c r="C271" s="13" t="str">
        <f>"31.5"</f>
        <v>31.5</v>
      </c>
      <c r="D271" s="15">
        <f>(C271*1.13274336283)+(-1)</f>
        <v>34.681415929145004</v>
      </c>
      <c r="E271" s="16">
        <f>(C271*1.09734513274)+(-3.7)</f>
        <v>30.866371681309996</v>
      </c>
      <c r="F271" s="17">
        <f>(C271*1.13274336283)+(-0.2)</f>
        <v>35.481415929145001</v>
      </c>
      <c r="G271" s="17">
        <f>(C271*1.09734513274)+(-2.6)</f>
        <v>31.966371681309994</v>
      </c>
    </row>
    <row r="272" spans="1:7" ht="19.95" customHeight="1" x14ac:dyDescent="0.25">
      <c r="A272" s="13" t="str">
        <f>"1015130"</f>
        <v>1015130</v>
      </c>
      <c r="B272" s="75" t="s">
        <v>273</v>
      </c>
      <c r="C272" s="13" t="str">
        <f>"22.8"</f>
        <v>22.8</v>
      </c>
      <c r="D272" s="15">
        <f>(C272*1.13274336283)+(-1)</f>
        <v>24.826548672524002</v>
      </c>
      <c r="E272" s="16">
        <f>(C272*1.09734513274)+(-3.7)</f>
        <v>21.319469026471999</v>
      </c>
      <c r="F272" s="17">
        <f>(C272*1.13274336283)+(-0.2)</f>
        <v>25.626548672524002</v>
      </c>
      <c r="G272" s="17">
        <f>(C272*1.09734513274)+(-2.6)</f>
        <v>22.419469026471997</v>
      </c>
    </row>
    <row r="273" spans="1:7" ht="19.95" customHeight="1" x14ac:dyDescent="0.25">
      <c r="A273" s="13" t="str">
        <f>"49293"</f>
        <v>49293</v>
      </c>
      <c r="B273" s="75" t="s">
        <v>274</v>
      </c>
      <c r="C273" s="13" t="str">
        <f>"13.7"</f>
        <v>13.7</v>
      </c>
      <c r="D273" s="15">
        <f>(C273*1.13274336283)+(-1)</f>
        <v>14.518584070771</v>
      </c>
      <c r="E273" s="16">
        <f>(C273*1.09734513274)+(-3.7)</f>
        <v>11.333628318537997</v>
      </c>
      <c r="F273" s="17">
        <f>(C273*1.13274336283)+(-0.2)</f>
        <v>15.318584070771001</v>
      </c>
      <c r="G273" s="17">
        <f>(C273*1.09734513274)+(-2.6)</f>
        <v>12.433628318537998</v>
      </c>
    </row>
    <row r="274" spans="1:7" ht="19.95" customHeight="1" x14ac:dyDescent="0.25">
      <c r="A274" s="13" t="str">
        <f>"67979"</f>
        <v>67979</v>
      </c>
      <c r="B274" s="75" t="s">
        <v>275</v>
      </c>
      <c r="C274" s="13" t="str">
        <f>"21.7"</f>
        <v>21.7</v>
      </c>
      <c r="D274" s="15">
        <f>(C274*1.13274336283)+(-1)</f>
        <v>23.580530973411001</v>
      </c>
      <c r="E274" s="16">
        <f>(C274*1.09734513274)+(-3.7)</f>
        <v>20.112389380457998</v>
      </c>
      <c r="F274" s="17">
        <f>(C274*1.13274336283)+(-0.2)</f>
        <v>24.380530973411002</v>
      </c>
      <c r="G274" s="17">
        <f>(C274*1.09734513274)+(-2.6)</f>
        <v>21.212389380457996</v>
      </c>
    </row>
    <row r="275" spans="1:7" ht="19.95" customHeight="1" x14ac:dyDescent="0.25">
      <c r="A275" s="13" t="str">
        <f>"1005025"</f>
        <v>1005025</v>
      </c>
      <c r="B275" s="75" t="s">
        <v>276</v>
      </c>
      <c r="C275" s="13" t="str">
        <f>"26.2"</f>
        <v>26.2</v>
      </c>
      <c r="D275" s="15">
        <f>(C275*1.13274336283)+(-1)</f>
        <v>28.677876106146002</v>
      </c>
      <c r="E275" s="16">
        <f>(C275*1.09734513274)+(-3.7)</f>
        <v>25.050442477787996</v>
      </c>
      <c r="F275" s="17">
        <f>(C275*1.13274336283)+(-0.2)</f>
        <v>29.477876106146002</v>
      </c>
      <c r="G275" s="17">
        <f>(C275*1.09734513274)+(-2.6)</f>
        <v>26.150442477787994</v>
      </c>
    </row>
    <row r="276" spans="1:7" ht="19.95" customHeight="1" x14ac:dyDescent="0.25">
      <c r="A276" s="13" t="str">
        <f>"1014977"</f>
        <v>1014977</v>
      </c>
      <c r="B276" s="75" t="s">
        <v>277</v>
      </c>
      <c r="C276" s="13" t="str">
        <f>"18.3"</f>
        <v>18.3</v>
      </c>
      <c r="D276" s="15">
        <f>(C276*1.13274336283)+(-1)</f>
        <v>19.729203539789001</v>
      </c>
      <c r="E276" s="16">
        <f>(C276*1.09734513274)+(-3.7)</f>
        <v>16.381415929142001</v>
      </c>
      <c r="F276" s="17">
        <f>(C276*1.13274336283)+(-0.2)</f>
        <v>20.529203539789002</v>
      </c>
      <c r="G276" s="17">
        <f>(C276*1.09734513274)+(-2.6)</f>
        <v>17.481415929141999</v>
      </c>
    </row>
    <row r="277" spans="1:7" ht="19.95" customHeight="1" x14ac:dyDescent="0.25">
      <c r="A277" s="13" t="str">
        <f>"4644"</f>
        <v>4644</v>
      </c>
      <c r="B277" s="75" t="s">
        <v>278</v>
      </c>
      <c r="C277" s="13" t="str">
        <f>"9.1"</f>
        <v>9.1</v>
      </c>
      <c r="D277" s="15">
        <f>(C277*1.13274336283)+(-1)</f>
        <v>9.3079646017530013</v>
      </c>
      <c r="E277" s="16">
        <f>(C277*1.09734513274)+(-3.7)</f>
        <v>6.2858407079339988</v>
      </c>
      <c r="F277" s="17">
        <f>(C277*1.13274336283)+(-0.2)</f>
        <v>10.107964601753002</v>
      </c>
      <c r="G277" s="17">
        <f>(C277*1.09734513274)+(-2.6)</f>
        <v>7.3858407079339994</v>
      </c>
    </row>
    <row r="278" spans="1:7" ht="19.95" customHeight="1" x14ac:dyDescent="0.25">
      <c r="A278" s="13" t="str">
        <f>"47384"</f>
        <v>47384</v>
      </c>
      <c r="B278" s="75" t="s">
        <v>279</v>
      </c>
      <c r="C278" s="13" t="str">
        <f>"33.0"</f>
        <v>33.0</v>
      </c>
      <c r="D278" s="15">
        <f>(C278*1.13274336283)+(-1)</f>
        <v>36.380530973390002</v>
      </c>
      <c r="E278" s="16">
        <f>(C278*1.09734513274)+(-3.7)</f>
        <v>32.512389380419997</v>
      </c>
      <c r="F278" s="17">
        <f>(C278*1.13274336283)+(-0.2)</f>
        <v>37.180530973389999</v>
      </c>
      <c r="G278" s="17">
        <f>(C278*1.09734513274)+(-2.6)</f>
        <v>33.612389380419998</v>
      </c>
    </row>
    <row r="279" spans="1:7" ht="19.95" customHeight="1" x14ac:dyDescent="0.25">
      <c r="A279" s="13" t="str">
        <f>"1000927"</f>
        <v>1000927</v>
      </c>
      <c r="B279" s="75" t="s">
        <v>280</v>
      </c>
      <c r="C279" s="13" t="str">
        <f>"39.1"</f>
        <v>39.1</v>
      </c>
      <c r="D279" s="15">
        <f>(C279*1.13274336283)+(-1)</f>
        <v>43.290265486653006</v>
      </c>
      <c r="E279" s="16">
        <f>(C279*1.09734513274)+(-3.7)</f>
        <v>39.206194690133998</v>
      </c>
      <c r="F279" s="17">
        <f>(C279*1.13274336283)+(-0.2)</f>
        <v>44.090265486653003</v>
      </c>
      <c r="G279" s="17">
        <f>(C279*1.09734513274)+(-2.6)</f>
        <v>40.306194690133999</v>
      </c>
    </row>
    <row r="280" spans="1:7" ht="19.95" customHeight="1" x14ac:dyDescent="0.25">
      <c r="A280" s="13" t="str">
        <f>"75640"</f>
        <v>75640</v>
      </c>
      <c r="B280" s="75" t="s">
        <v>281</v>
      </c>
      <c r="C280" s="13" t="str">
        <f>"28.1"</f>
        <v>28.1</v>
      </c>
      <c r="D280" s="15">
        <f>(C280*1.13274336283)+(-1)</f>
        <v>30.830088495523004</v>
      </c>
      <c r="E280" s="16">
        <f>(C280*1.09734513274)+(-3.7)</f>
        <v>27.135398229993999</v>
      </c>
      <c r="F280" s="17">
        <f>(C280*1.13274336283)+(-0.2)</f>
        <v>31.630088495523005</v>
      </c>
      <c r="G280" s="17">
        <f>(C280*1.09734513274)+(-2.6)</f>
        <v>28.235398229993997</v>
      </c>
    </row>
    <row r="281" spans="1:7" ht="19.95" customHeight="1" x14ac:dyDescent="0.25">
      <c r="A281" s="13" t="str">
        <f>"1017692"</f>
        <v>1017692</v>
      </c>
      <c r="B281" s="75" t="s">
        <v>1929</v>
      </c>
      <c r="C281" s="13" t="s">
        <v>76</v>
      </c>
      <c r="D281" s="15" t="s">
        <v>77</v>
      </c>
      <c r="E281" s="16" t="s">
        <v>77</v>
      </c>
      <c r="F281" s="17" t="s">
        <v>77</v>
      </c>
      <c r="G281" s="17" t="s">
        <v>77</v>
      </c>
    </row>
    <row r="282" spans="1:7" ht="19.95" customHeight="1" x14ac:dyDescent="0.25">
      <c r="A282" s="13" t="str">
        <f>"52177"</f>
        <v>52177</v>
      </c>
      <c r="B282" s="75" t="s">
        <v>282</v>
      </c>
      <c r="C282" s="13" t="str">
        <f>"28.7"</f>
        <v>28.7</v>
      </c>
      <c r="D282" s="15">
        <f>(C282*1.13274336283)+(-1)</f>
        <v>31.509734513221005</v>
      </c>
      <c r="E282" s="16">
        <f>(C282*1.09734513274)+(-3.7)</f>
        <v>27.793805309637996</v>
      </c>
      <c r="F282" s="17">
        <f>(C282*1.13274336283)+(-0.2)</f>
        <v>32.309734513221002</v>
      </c>
      <c r="G282" s="17">
        <f>(C282*1.09734513274)+(-2.6)</f>
        <v>28.893805309637994</v>
      </c>
    </row>
    <row r="283" spans="1:7" ht="19.95" customHeight="1" x14ac:dyDescent="0.25">
      <c r="A283" s="13" t="str">
        <f>"17595"</f>
        <v>17595</v>
      </c>
      <c r="B283" s="75" t="s">
        <v>283</v>
      </c>
      <c r="C283" s="13" t="str">
        <f>"21.3"</f>
        <v>21.3</v>
      </c>
      <c r="D283" s="15">
        <f>(C283*1.13274336283)+(-1)</f>
        <v>23.127433628279004</v>
      </c>
      <c r="E283" s="16">
        <f>(C283*1.09734513274)+(-3.7)</f>
        <v>19.673451327361999</v>
      </c>
      <c r="F283" s="17">
        <f>(C283*1.13274336283)+(-0.2)</f>
        <v>23.927433628279005</v>
      </c>
      <c r="G283" s="17">
        <f>(C283*1.09734513274)+(-2.6)</f>
        <v>20.773451327361997</v>
      </c>
    </row>
    <row r="284" spans="1:7" ht="19.95" customHeight="1" x14ac:dyDescent="0.25">
      <c r="A284" s="13" t="str">
        <f>"17596"</f>
        <v>17596</v>
      </c>
      <c r="B284" s="75" t="s">
        <v>284</v>
      </c>
      <c r="C284" s="13" t="str">
        <f>"25.1"</f>
        <v>25.1</v>
      </c>
      <c r="D284" s="15">
        <f>(C284*1.13274336283)+(-1)</f>
        <v>27.431858407033005</v>
      </c>
      <c r="E284" s="16">
        <f>(C284*1.09734513274)+(-3.7)</f>
        <v>23.843362831773998</v>
      </c>
      <c r="F284" s="17">
        <f>(C284*1.13274336283)+(-0.2)</f>
        <v>28.231858407033005</v>
      </c>
      <c r="G284" s="17">
        <f>(C284*1.09734513274)+(-2.6)</f>
        <v>24.943362831773996</v>
      </c>
    </row>
    <row r="285" spans="1:7" ht="19.95" customHeight="1" x14ac:dyDescent="0.25">
      <c r="A285" s="13" t="str">
        <f>"1011938"</f>
        <v>1011938</v>
      </c>
      <c r="B285" s="75" t="s">
        <v>285</v>
      </c>
      <c r="C285" s="13" t="str">
        <f>"17.9"</f>
        <v>17.9</v>
      </c>
      <c r="D285" s="15">
        <f>(C285*1.13274336283)+(-1)</f>
        <v>19.276106194657</v>
      </c>
      <c r="E285" s="16">
        <f>(C285*1.09734513274)+(-3.7)</f>
        <v>15.942477876045999</v>
      </c>
      <c r="F285" s="17">
        <f>(C285*1.13274336283)+(-0.2)</f>
        <v>20.076106194657001</v>
      </c>
      <c r="G285" s="17">
        <f>(C285*1.09734513274)+(-2.6)</f>
        <v>17.042477876045997</v>
      </c>
    </row>
    <row r="286" spans="1:7" ht="19.95" customHeight="1" x14ac:dyDescent="0.25">
      <c r="A286" s="13" t="str">
        <f>"1016726"</f>
        <v>1016726</v>
      </c>
      <c r="B286" s="75" t="s">
        <v>286</v>
      </c>
      <c r="C286" s="13" t="str">
        <f>"25.8"</f>
        <v>25.8</v>
      </c>
      <c r="D286" s="15">
        <f>(C286*1.13274336283)+(-1)</f>
        <v>28.224778761014004</v>
      </c>
      <c r="E286" s="16">
        <f>(C286*1.09734513274)+(-3.7)</f>
        <v>24.611504424691997</v>
      </c>
      <c r="F286" s="17">
        <f>(C286*1.13274336283)+(-0.2)</f>
        <v>29.024778761014005</v>
      </c>
      <c r="G286" s="17">
        <f>(C286*1.09734513274)+(-2.6)</f>
        <v>25.711504424691995</v>
      </c>
    </row>
    <row r="287" spans="1:7" ht="19.95" customHeight="1" x14ac:dyDescent="0.25">
      <c r="A287" s="13" t="str">
        <f>"17599"</f>
        <v>17599</v>
      </c>
      <c r="B287" s="75" t="s">
        <v>287</v>
      </c>
      <c r="C287" s="13" t="str">
        <f>"34.7"</f>
        <v>34.7</v>
      </c>
      <c r="D287" s="15">
        <f>(C287*1.13274336283)+(-1)</f>
        <v>38.306194690201004</v>
      </c>
      <c r="E287" s="16">
        <f>(C287*1.09734513274)+(-3.7)</f>
        <v>34.377876106077998</v>
      </c>
      <c r="F287" s="17">
        <f>(C287*1.13274336283)+(-0.2)</f>
        <v>39.106194690201001</v>
      </c>
      <c r="G287" s="17">
        <f>(C287*1.09734513274)+(-2.6)</f>
        <v>35.477876106078</v>
      </c>
    </row>
    <row r="288" spans="1:7" ht="19.95" customHeight="1" x14ac:dyDescent="0.25">
      <c r="A288" s="13" t="str">
        <f>"80561"</f>
        <v>80561</v>
      </c>
      <c r="B288" s="75" t="s">
        <v>288</v>
      </c>
      <c r="C288" s="13" t="str">
        <f>"15.2"</f>
        <v>15.2</v>
      </c>
      <c r="D288" s="15">
        <f>(C288*1.13274336283)+(-1)</f>
        <v>16.217699115016</v>
      </c>
      <c r="E288" s="16">
        <f>(C288*1.09734513274)+(-3.7)</f>
        <v>12.979646017647998</v>
      </c>
      <c r="F288" s="17">
        <f>(C288*1.13274336283)+(-0.2)</f>
        <v>17.017699115016001</v>
      </c>
      <c r="G288" s="17">
        <f>(C288*1.09734513274)+(-2.6)</f>
        <v>14.079646017647997</v>
      </c>
    </row>
    <row r="289" spans="1:7" ht="19.95" customHeight="1" x14ac:dyDescent="0.25">
      <c r="A289" s="13" t="str">
        <f>"17602"</f>
        <v>17602</v>
      </c>
      <c r="B289" s="75" t="s">
        <v>289</v>
      </c>
      <c r="C289" s="13" t="str">
        <f>"30.6"</f>
        <v>30.6</v>
      </c>
      <c r="D289" s="15">
        <f>(C289*1.13274336283)+(-1)</f>
        <v>33.661946902598004</v>
      </c>
      <c r="E289" s="16">
        <f>(C289*1.09734513274)+(-3.7)</f>
        <v>29.878761061843999</v>
      </c>
      <c r="F289" s="17">
        <f>(C289*1.13274336283)+(-0.2)</f>
        <v>34.461946902598001</v>
      </c>
      <c r="G289" s="17">
        <f>(C289*1.09734513274)+(-2.6)</f>
        <v>30.978761061843997</v>
      </c>
    </row>
    <row r="290" spans="1:7" ht="19.95" customHeight="1" x14ac:dyDescent="0.25">
      <c r="A290" s="13" t="str">
        <f>"74181"</f>
        <v>74181</v>
      </c>
      <c r="B290" s="75" t="s">
        <v>290</v>
      </c>
      <c r="C290" s="13" t="str">
        <f>"27.6"</f>
        <v>27.6</v>
      </c>
      <c r="D290" s="15">
        <f>(C290*1.13274336283)+(-1)</f>
        <v>30.263716814108005</v>
      </c>
      <c r="E290" s="16">
        <f>(C290*1.09734513274)+(-3.7)</f>
        <v>26.586725663623998</v>
      </c>
      <c r="F290" s="17">
        <f>(C290*1.13274336283)+(-0.2)</f>
        <v>31.063716814108005</v>
      </c>
      <c r="G290" s="17">
        <f>(C290*1.09734513274)+(-2.6)</f>
        <v>27.686725663623996</v>
      </c>
    </row>
    <row r="291" spans="1:7" ht="19.95" customHeight="1" x14ac:dyDescent="0.25">
      <c r="A291" s="13" t="str">
        <f>"60831"</f>
        <v>60831</v>
      </c>
      <c r="B291" s="75" t="s">
        <v>291</v>
      </c>
      <c r="C291" s="13" t="str">
        <f>"12.0"</f>
        <v>12.0</v>
      </c>
      <c r="D291" s="15">
        <f>(C291*1.13274336283)+(-1)</f>
        <v>12.59292035396</v>
      </c>
      <c r="E291" s="16">
        <f>(C291*1.09734513274)+(-3.7)</f>
        <v>9.4681415928799986</v>
      </c>
      <c r="F291" s="17">
        <f>(C291*1.13274336283)+(-0.2)</f>
        <v>13.392920353960001</v>
      </c>
      <c r="G291" s="17">
        <f>(C291*1.09734513274)+(-2.6)</f>
        <v>10.568141592879998</v>
      </c>
    </row>
    <row r="292" spans="1:7" ht="19.95" customHeight="1" x14ac:dyDescent="0.25">
      <c r="A292" s="13" t="str">
        <f>"17605"</f>
        <v>17605</v>
      </c>
      <c r="B292" s="75" t="s">
        <v>292</v>
      </c>
      <c r="C292" s="13" t="str">
        <f>"31.1"</f>
        <v>31.1</v>
      </c>
      <c r="D292" s="15">
        <f>(C292*1.13274336283)+(-1)</f>
        <v>34.228318584013003</v>
      </c>
      <c r="E292" s="16">
        <f>(C292*1.09734513274)+(-3.7)</f>
        <v>30.427433628214001</v>
      </c>
      <c r="F292" s="17">
        <f>(C292*1.13274336283)+(-0.2)</f>
        <v>35.028318584013</v>
      </c>
      <c r="G292" s="17">
        <f>(C292*1.09734513274)+(-2.6)</f>
        <v>31.527433628213998</v>
      </c>
    </row>
    <row r="293" spans="1:7" ht="19.95" customHeight="1" x14ac:dyDescent="0.25">
      <c r="A293" s="13" t="str">
        <f>"70099"</f>
        <v>70099</v>
      </c>
      <c r="B293" s="75" t="s">
        <v>293</v>
      </c>
      <c r="C293" s="13" t="str">
        <f>"29.8"</f>
        <v>29.8</v>
      </c>
      <c r="D293" s="15">
        <f>(C293*1.13274336283)+(-1)</f>
        <v>32.755752212334002</v>
      </c>
      <c r="E293" s="16">
        <f>(C293*1.09734513274)+(-3.7)</f>
        <v>29.000884955652001</v>
      </c>
      <c r="F293" s="17">
        <f>(C293*1.13274336283)+(-0.2)</f>
        <v>33.555752212333999</v>
      </c>
      <c r="G293" s="17">
        <f>(C293*1.09734513274)+(-2.6)</f>
        <v>30.100884955651999</v>
      </c>
    </row>
    <row r="294" spans="1:7" ht="19.95" customHeight="1" x14ac:dyDescent="0.25">
      <c r="A294" s="13" t="str">
        <f>"24042"</f>
        <v>24042</v>
      </c>
      <c r="B294" s="75" t="s">
        <v>294</v>
      </c>
      <c r="C294" s="13" t="str">
        <f>"5.8"</f>
        <v>5.8</v>
      </c>
      <c r="D294" s="15">
        <f>(C294*1.13274336283)+(-1)</f>
        <v>5.5699115044140006</v>
      </c>
      <c r="E294" s="16">
        <f>(C294*1.09734513274)+(-3.7)</f>
        <v>2.6646017698919993</v>
      </c>
      <c r="F294" s="17">
        <f>(C294*1.13274336283)+(-0.2)</f>
        <v>6.3699115044140004</v>
      </c>
      <c r="G294" s="17">
        <f>(C294*1.09734513274)+(-2.6)</f>
        <v>3.7646017698919993</v>
      </c>
    </row>
    <row r="295" spans="1:7" ht="19.95" customHeight="1" x14ac:dyDescent="0.25">
      <c r="A295" s="13" t="str">
        <f>"17608"</f>
        <v>17608</v>
      </c>
      <c r="B295" s="75" t="s">
        <v>295</v>
      </c>
      <c r="C295" s="13" t="str">
        <f>"16.4"</f>
        <v>16.4</v>
      </c>
      <c r="D295" s="15">
        <f>(C295*1.13274336283)+(-1)</f>
        <v>17.576991150411999</v>
      </c>
      <c r="E295" s="16">
        <f>(C295*1.09734513274)+(-3.7)</f>
        <v>14.296460176935998</v>
      </c>
      <c r="F295" s="17">
        <f>(C295*1.13274336283)+(-0.2)</f>
        <v>18.376991150412</v>
      </c>
      <c r="G295" s="17">
        <f>(C295*1.09734513274)+(-2.6)</f>
        <v>15.396460176935998</v>
      </c>
    </row>
    <row r="296" spans="1:7" ht="19.95" customHeight="1" x14ac:dyDescent="0.25">
      <c r="A296" s="13" t="str">
        <f>"26728"</f>
        <v>26728</v>
      </c>
      <c r="B296" s="75" t="s">
        <v>296</v>
      </c>
      <c r="C296" s="13" t="str">
        <f>"32.1"</f>
        <v>32.1</v>
      </c>
      <c r="D296" s="15">
        <f>(C296*1.13274336283)+(-1)</f>
        <v>35.361061946843002</v>
      </c>
      <c r="E296" s="16">
        <f>(C296*1.09734513274)+(-3.7)</f>
        <v>31.524778760953996</v>
      </c>
      <c r="F296" s="17">
        <f>(C296*1.13274336283)+(-0.2)</f>
        <v>36.161061946842999</v>
      </c>
      <c r="G296" s="17">
        <f>(C296*1.09734513274)+(-2.6)</f>
        <v>32.624778760953994</v>
      </c>
    </row>
    <row r="297" spans="1:7" ht="19.95" customHeight="1" x14ac:dyDescent="0.25">
      <c r="A297" s="13" t="str">
        <f>"1011742"</f>
        <v>1011742</v>
      </c>
      <c r="B297" s="75" t="s">
        <v>297</v>
      </c>
      <c r="C297" s="13" t="s">
        <v>76</v>
      </c>
      <c r="D297" s="15" t="s">
        <v>77</v>
      </c>
      <c r="E297" s="16" t="s">
        <v>77</v>
      </c>
      <c r="F297" s="17" t="s">
        <v>77</v>
      </c>
      <c r="G297" s="17" t="s">
        <v>77</v>
      </c>
    </row>
    <row r="298" spans="1:7" ht="19.95" customHeight="1" x14ac:dyDescent="0.25">
      <c r="A298" s="13" t="str">
        <f>"18361"</f>
        <v>18361</v>
      </c>
      <c r="B298" s="75" t="s">
        <v>298</v>
      </c>
      <c r="C298" s="13" t="str">
        <f>"28.9"</f>
        <v>28.9</v>
      </c>
      <c r="D298" s="15">
        <f>(C298*1.13274336283)+(-1)</f>
        <v>31.736283185787002</v>
      </c>
      <c r="E298" s="16">
        <f>(C298*1.09734513274)+(-3.7)</f>
        <v>28.013274336185997</v>
      </c>
      <c r="F298" s="17">
        <f>(C298*1.13274336283)+(-0.2)</f>
        <v>32.536283185786999</v>
      </c>
      <c r="G298" s="17">
        <f>(C298*1.09734513274)+(-2.6)</f>
        <v>29.113274336185995</v>
      </c>
    </row>
    <row r="299" spans="1:7" ht="19.95" customHeight="1" x14ac:dyDescent="0.25">
      <c r="A299" s="13" t="str">
        <f>"75520"</f>
        <v>75520</v>
      </c>
      <c r="B299" s="75" t="s">
        <v>299</v>
      </c>
      <c r="C299" s="13" t="str">
        <f>"25.9"</f>
        <v>25.9</v>
      </c>
      <c r="D299" s="15">
        <f>(C299*1.13274336283)+(-1)</f>
        <v>28.338053097296999</v>
      </c>
      <c r="E299" s="16">
        <f>(C299*1.09734513274)+(-3.7)</f>
        <v>24.721238937965996</v>
      </c>
      <c r="F299" s="17">
        <f>(C299*1.13274336283)+(-0.2)</f>
        <v>29.138053097297</v>
      </c>
      <c r="G299" s="17">
        <f>(C299*1.09734513274)+(-2.6)</f>
        <v>25.821238937965994</v>
      </c>
    </row>
    <row r="300" spans="1:7" ht="19.95" customHeight="1" x14ac:dyDescent="0.25">
      <c r="A300" s="13" t="str">
        <f>"50418"</f>
        <v>50418</v>
      </c>
      <c r="B300" s="75" t="s">
        <v>300</v>
      </c>
      <c r="C300" s="13" t="str">
        <f>"21.6"</f>
        <v>21.6</v>
      </c>
      <c r="D300" s="15">
        <f>(C300*1.13274336283)+(-1)</f>
        <v>23.467256637128003</v>
      </c>
      <c r="E300" s="16">
        <f>(C300*1.09734513274)+(-3.7)</f>
        <v>20.002654867183999</v>
      </c>
      <c r="F300" s="17">
        <f>(C300*1.13274336283)+(-0.2)</f>
        <v>24.267256637128003</v>
      </c>
      <c r="G300" s="17">
        <f>(C300*1.09734513274)+(-2.6)</f>
        <v>21.102654867183997</v>
      </c>
    </row>
    <row r="301" spans="1:7" ht="19.95" customHeight="1" x14ac:dyDescent="0.25">
      <c r="A301" s="13" t="str">
        <f>"17611"</f>
        <v>17611</v>
      </c>
      <c r="B301" s="75" t="s">
        <v>301</v>
      </c>
      <c r="C301" s="13" t="str">
        <f>"11.9"</f>
        <v>11.9</v>
      </c>
      <c r="D301" s="15">
        <f>(C301*1.13274336283)+(-1)</f>
        <v>12.479646017677002</v>
      </c>
      <c r="E301" s="16">
        <f>(C301*1.09734513274)+(-3.7)</f>
        <v>9.3584070796059997</v>
      </c>
      <c r="F301" s="17">
        <f>(C301*1.13274336283)+(-0.2)</f>
        <v>13.279646017677003</v>
      </c>
      <c r="G301" s="17">
        <f>(C301*1.09734513274)+(-2.6)</f>
        <v>10.458407079605999</v>
      </c>
    </row>
    <row r="302" spans="1:7" ht="19.95" customHeight="1" x14ac:dyDescent="0.25">
      <c r="A302" s="13" t="str">
        <f>"1002322"</f>
        <v>1002322</v>
      </c>
      <c r="B302" s="75" t="s">
        <v>302</v>
      </c>
      <c r="C302" s="13" t="str">
        <f>"28.5"</f>
        <v>28.5</v>
      </c>
      <c r="D302" s="15">
        <f>(C302*1.13274336283)+(-1)</f>
        <v>31.283185840655001</v>
      </c>
      <c r="E302" s="16">
        <f>(C302*1.09734513274)+(-3.7)</f>
        <v>27.574336283089998</v>
      </c>
      <c r="F302" s="17">
        <f>(C302*1.13274336283)+(-0.2)</f>
        <v>32.083185840654998</v>
      </c>
      <c r="G302" s="17">
        <f>(C302*1.09734513274)+(-2.6)</f>
        <v>28.674336283089996</v>
      </c>
    </row>
    <row r="303" spans="1:7" ht="19.95" customHeight="1" x14ac:dyDescent="0.25">
      <c r="A303" s="13" t="str">
        <f>"1000923"</f>
        <v>1000923</v>
      </c>
      <c r="B303" s="75" t="s">
        <v>303</v>
      </c>
      <c r="C303" s="13" t="str">
        <f>"31.7"</f>
        <v>31.7</v>
      </c>
      <c r="D303" s="15">
        <f>(C303*1.13274336283)+(-1)</f>
        <v>34.907964601711001</v>
      </c>
      <c r="E303" s="16">
        <f>(C303*1.09734513274)+(-3.7)</f>
        <v>31.085840707857994</v>
      </c>
      <c r="F303" s="17">
        <f>(C303*1.13274336283)+(-0.2)</f>
        <v>35.707964601710998</v>
      </c>
      <c r="G303" s="17">
        <f>(C303*1.09734513274)+(-2.6)</f>
        <v>32.185840707857992</v>
      </c>
    </row>
    <row r="304" spans="1:7" ht="19.95" customHeight="1" x14ac:dyDescent="0.25">
      <c r="A304" s="13" t="str">
        <f>"15133"</f>
        <v>15133</v>
      </c>
      <c r="B304" s="75" t="s">
        <v>304</v>
      </c>
      <c r="C304" s="13" t="str">
        <f>"37.3"</f>
        <v>37.3</v>
      </c>
      <c r="D304" s="15">
        <f>(C304*1.13274336283)+(-1)</f>
        <v>41.251327433558998</v>
      </c>
      <c r="E304" s="16">
        <f>(C304*1.09734513274)+(-3.7)</f>
        <v>37.23097345120199</v>
      </c>
      <c r="F304" s="17">
        <f>(C304*1.13274336283)+(-0.2)</f>
        <v>42.051327433558995</v>
      </c>
      <c r="G304" s="17">
        <f>(C304*1.09734513274)+(-2.6)</f>
        <v>38.330973451201992</v>
      </c>
    </row>
    <row r="305" spans="1:7" ht="19.95" customHeight="1" x14ac:dyDescent="0.25">
      <c r="A305" s="13" t="str">
        <f>"1000930"</f>
        <v>1000930</v>
      </c>
      <c r="B305" s="75" t="s">
        <v>305</v>
      </c>
      <c r="C305" s="13" t="str">
        <f>"24.9"</f>
        <v>24.9</v>
      </c>
      <c r="D305" s="15">
        <f>(C305*1.13274336283)+(-1)</f>
        <v>27.205309734467001</v>
      </c>
      <c r="E305" s="16">
        <f>(C305*1.09734513274)+(-3.7)</f>
        <v>23.623893805225997</v>
      </c>
      <c r="F305" s="17">
        <f>(C305*1.13274336283)+(-0.2)</f>
        <v>28.005309734467001</v>
      </c>
      <c r="G305" s="17">
        <f>(C305*1.09734513274)+(-2.6)</f>
        <v>24.723893805225995</v>
      </c>
    </row>
    <row r="306" spans="1:7" ht="19.95" customHeight="1" x14ac:dyDescent="0.25">
      <c r="A306" s="13" t="str">
        <f>"17615"</f>
        <v>17615</v>
      </c>
      <c r="B306" s="75" t="s">
        <v>306</v>
      </c>
      <c r="C306" s="13" t="str">
        <f>"23.0"</f>
        <v>23.0</v>
      </c>
      <c r="D306" s="15">
        <f>(C306*1.13274336283)+(-1)</f>
        <v>25.053097345090002</v>
      </c>
      <c r="E306" s="16">
        <f>(C306*1.09734513274)+(-3.7)</f>
        <v>21.538938053019997</v>
      </c>
      <c r="F306" s="17">
        <f>(C306*1.13274336283)+(-0.2)</f>
        <v>25.853097345090003</v>
      </c>
      <c r="G306" s="17">
        <f>(C306*1.09734513274)+(-2.6)</f>
        <v>22.638938053019995</v>
      </c>
    </row>
    <row r="307" spans="1:7" ht="19.95" customHeight="1" x14ac:dyDescent="0.25">
      <c r="A307" s="13" t="str">
        <f>"81325"</f>
        <v>81325</v>
      </c>
      <c r="B307" s="75" t="s">
        <v>307</v>
      </c>
      <c r="C307" s="13" t="str">
        <f>"18.2"</f>
        <v>18.2</v>
      </c>
      <c r="D307" s="15">
        <f>(C307*1.13274336283)+(-1)</f>
        <v>19.615929203506003</v>
      </c>
      <c r="E307" s="16">
        <f>(C307*1.09734513274)+(-3.7)</f>
        <v>16.271681415867999</v>
      </c>
      <c r="F307" s="17">
        <f>(C307*1.13274336283)+(-0.2)</f>
        <v>20.415929203506003</v>
      </c>
      <c r="G307" s="17">
        <f>(C307*1.09734513274)+(-2.6)</f>
        <v>17.371681415867997</v>
      </c>
    </row>
    <row r="308" spans="1:7" ht="19.95" customHeight="1" x14ac:dyDescent="0.25">
      <c r="A308" s="13" t="str">
        <f>"75127"</f>
        <v>75127</v>
      </c>
      <c r="B308" s="75" t="s">
        <v>308</v>
      </c>
      <c r="C308" s="13" t="str">
        <f>"18.3"</f>
        <v>18.3</v>
      </c>
      <c r="D308" s="15">
        <f>(C308*1.13274336283)+(-1)</f>
        <v>19.729203539789001</v>
      </c>
      <c r="E308" s="16">
        <f>(C308*1.09734513274)+(-3.7)</f>
        <v>16.381415929142001</v>
      </c>
      <c r="F308" s="17">
        <f>(C308*1.13274336283)+(-0.2)</f>
        <v>20.529203539789002</v>
      </c>
      <c r="G308" s="17">
        <f>(C308*1.09734513274)+(-2.6)</f>
        <v>17.481415929141999</v>
      </c>
    </row>
    <row r="309" spans="1:7" ht="19.95" customHeight="1" x14ac:dyDescent="0.25">
      <c r="A309" s="13" t="str">
        <f>"15808"</f>
        <v>15808</v>
      </c>
      <c r="B309" s="75" t="s">
        <v>309</v>
      </c>
      <c r="C309" s="13" t="str">
        <f>"27.7"</f>
        <v>27.7</v>
      </c>
      <c r="D309" s="15">
        <f>(C309*1.13274336283)+(-1)</f>
        <v>30.376991150391003</v>
      </c>
      <c r="E309" s="16">
        <f>(C309*1.09734513274)+(-3.7)</f>
        <v>26.696460176897997</v>
      </c>
      <c r="F309" s="17">
        <f>(C309*1.13274336283)+(-0.2)</f>
        <v>31.176991150391004</v>
      </c>
      <c r="G309" s="17">
        <f>(C309*1.09734513274)+(-2.6)</f>
        <v>27.796460176897995</v>
      </c>
    </row>
    <row r="310" spans="1:7" ht="19.95" customHeight="1" x14ac:dyDescent="0.25">
      <c r="A310" s="13" t="str">
        <f>"1008036"</f>
        <v>1008036</v>
      </c>
      <c r="B310" s="75" t="s">
        <v>310</v>
      </c>
      <c r="C310" s="13" t="str">
        <f>"30.7"</f>
        <v>30.7</v>
      </c>
      <c r="D310" s="15">
        <f>(C310*1.13274336283)+(-1)</f>
        <v>33.775221238881002</v>
      </c>
      <c r="E310" s="16">
        <f>(C310*1.09734513274)+(-3.7)</f>
        <v>29.988495575117998</v>
      </c>
      <c r="F310" s="17">
        <f>(C310*1.13274336283)+(-0.2)</f>
        <v>34.575221238880999</v>
      </c>
      <c r="G310" s="17">
        <f>(C310*1.09734513274)+(-2.6)</f>
        <v>31.088495575117996</v>
      </c>
    </row>
    <row r="311" spans="1:7" ht="19.95" customHeight="1" x14ac:dyDescent="0.25">
      <c r="A311" s="13" t="str">
        <f>"79930"</f>
        <v>79930</v>
      </c>
      <c r="B311" s="75" t="s">
        <v>311</v>
      </c>
      <c r="C311" s="13" t="str">
        <f>"21.3"</f>
        <v>21.3</v>
      </c>
      <c r="D311" s="15">
        <f>(C311*1.13274336283)+(-1)</f>
        <v>23.127433628279004</v>
      </c>
      <c r="E311" s="16">
        <f>(C311*1.09734513274)+(-3.7)</f>
        <v>19.673451327361999</v>
      </c>
      <c r="F311" s="17">
        <f>(C311*1.13274336283)+(-0.2)</f>
        <v>23.927433628279005</v>
      </c>
      <c r="G311" s="17">
        <f>(C311*1.09734513274)+(-2.6)</f>
        <v>20.773451327361997</v>
      </c>
    </row>
    <row r="312" spans="1:7" ht="19.95" customHeight="1" x14ac:dyDescent="0.25">
      <c r="A312" s="13" t="str">
        <f>"1000484"</f>
        <v>1000484</v>
      </c>
      <c r="B312" s="75" t="s">
        <v>312</v>
      </c>
      <c r="C312" s="13" t="str">
        <f>"24.1"</f>
        <v>24.1</v>
      </c>
      <c r="D312" s="15">
        <f>(C312*1.13274336283)+(-1)</f>
        <v>26.299115044203003</v>
      </c>
      <c r="E312" s="16">
        <f>(C312*1.09734513274)+(-3.7)</f>
        <v>22.746017699033999</v>
      </c>
      <c r="F312" s="17">
        <f>(C312*1.13274336283)+(-0.2)</f>
        <v>27.099115044203003</v>
      </c>
      <c r="G312" s="17">
        <f>(C312*1.09734513274)+(-2.6)</f>
        <v>23.846017699033997</v>
      </c>
    </row>
    <row r="313" spans="1:7" ht="19.95" customHeight="1" x14ac:dyDescent="0.25">
      <c r="A313" s="13" t="str">
        <f>"1012998"</f>
        <v>1012998</v>
      </c>
      <c r="B313" s="75" t="s">
        <v>313</v>
      </c>
      <c r="C313" s="13" t="str">
        <f>"17.9"</f>
        <v>17.9</v>
      </c>
      <c r="D313" s="15">
        <f>(C313*1.13274336283)+(-1)</f>
        <v>19.276106194657</v>
      </c>
      <c r="E313" s="16">
        <f>(C313*1.09734513274)+(-3.7)</f>
        <v>15.942477876045999</v>
      </c>
      <c r="F313" s="17">
        <f>(C313*1.13274336283)+(-0.2)</f>
        <v>20.076106194657001</v>
      </c>
      <c r="G313" s="17">
        <f>(C313*1.09734513274)+(-2.6)</f>
        <v>17.042477876045997</v>
      </c>
    </row>
    <row r="314" spans="1:7" ht="19.95" customHeight="1" x14ac:dyDescent="0.25">
      <c r="A314" s="13" t="str">
        <f>"79929"</f>
        <v>79929</v>
      </c>
      <c r="B314" s="75" t="s">
        <v>314</v>
      </c>
      <c r="C314" s="13" t="str">
        <f>"19.2"</f>
        <v>19.2</v>
      </c>
      <c r="D314" s="15">
        <f>(C314*1.13274336283)+(-1)</f>
        <v>20.748672566336001</v>
      </c>
      <c r="E314" s="16">
        <f>(C314*1.09734513274)+(-3.7)</f>
        <v>17.369026548607998</v>
      </c>
      <c r="F314" s="17">
        <f>(C314*1.13274336283)+(-0.2)</f>
        <v>21.548672566336002</v>
      </c>
      <c r="G314" s="17">
        <f>(C314*1.09734513274)+(-2.6)</f>
        <v>18.469026548607996</v>
      </c>
    </row>
    <row r="315" spans="1:7" ht="19.95" customHeight="1" x14ac:dyDescent="0.25">
      <c r="A315" s="13" t="str">
        <f>"17630"</f>
        <v>17630</v>
      </c>
      <c r="B315" s="75" t="s">
        <v>315</v>
      </c>
      <c r="C315" s="13" t="str">
        <f>"23.1"</f>
        <v>23.1</v>
      </c>
      <c r="D315" s="15">
        <f>(C315*1.13274336283)+(-1)</f>
        <v>25.166371681373004</v>
      </c>
      <c r="E315" s="16">
        <f>(C315*1.09734513274)+(-3.7)</f>
        <v>21.648672566294</v>
      </c>
      <c r="F315" s="17">
        <f>(C315*1.13274336283)+(-0.2)</f>
        <v>25.966371681373005</v>
      </c>
      <c r="G315" s="17">
        <f>(C315*1.09734513274)+(-2.6)</f>
        <v>22.748672566293997</v>
      </c>
    </row>
    <row r="316" spans="1:7" ht="19.95" customHeight="1" x14ac:dyDescent="0.25">
      <c r="A316" s="13" t="str">
        <f>"74402"</f>
        <v>74402</v>
      </c>
      <c r="B316" s="75" t="s">
        <v>316</v>
      </c>
      <c r="C316" s="13" t="str">
        <f>"28.6"</f>
        <v>28.6</v>
      </c>
      <c r="D316" s="15">
        <f>(C316*1.13274336283)+(-1)</f>
        <v>31.396460176938007</v>
      </c>
      <c r="E316" s="16">
        <f>(C316*1.09734513274)+(-3.7)</f>
        <v>27.684070796364001</v>
      </c>
      <c r="F316" s="17">
        <f>(C316*1.13274336283)+(-0.2)</f>
        <v>32.196460176938004</v>
      </c>
      <c r="G316" s="17">
        <f>(C316*1.09734513274)+(-2.6)</f>
        <v>28.784070796363999</v>
      </c>
    </row>
    <row r="317" spans="1:7" ht="19.95" customHeight="1" x14ac:dyDescent="0.25">
      <c r="A317" s="13" t="str">
        <f>"1000488"</f>
        <v>1000488</v>
      </c>
      <c r="B317" s="75" t="s">
        <v>317</v>
      </c>
      <c r="C317" s="13" t="str">
        <f>"36.8"</f>
        <v>36.8</v>
      </c>
      <c r="D317" s="15">
        <f>(C317*1.13274336283)+(-1)</f>
        <v>40.684955752143999</v>
      </c>
      <c r="E317" s="16">
        <f>(C317*1.09734513274)+(-3.7)</f>
        <v>36.682300884831989</v>
      </c>
      <c r="F317" s="17">
        <f>(C317*1.13274336283)+(-0.2)</f>
        <v>41.484955752143996</v>
      </c>
      <c r="G317" s="17">
        <f>(C317*1.09734513274)+(-2.6)</f>
        <v>37.78230088483199</v>
      </c>
    </row>
    <row r="318" spans="1:7" ht="19.95" customHeight="1" x14ac:dyDescent="0.25">
      <c r="A318" s="13" t="str">
        <f>"73884"</f>
        <v>73884</v>
      </c>
      <c r="B318" s="75" t="s">
        <v>318</v>
      </c>
      <c r="C318" s="13" t="str">
        <f>"16.1"</f>
        <v>16.1</v>
      </c>
      <c r="D318" s="15">
        <f>(C318*1.13274336283)+(-1)</f>
        <v>17.237168141563004</v>
      </c>
      <c r="E318" s="16">
        <f>(C318*1.09734513274)+(-3.7)</f>
        <v>13.967256637114001</v>
      </c>
      <c r="F318" s="17">
        <f>(C318*1.13274336283)+(-0.2)</f>
        <v>18.037168141563004</v>
      </c>
      <c r="G318" s="17">
        <f>(C318*1.09734513274)+(-2.6)</f>
        <v>15.067256637114001</v>
      </c>
    </row>
    <row r="319" spans="1:7" ht="19.95" customHeight="1" x14ac:dyDescent="0.25">
      <c r="A319" s="13" t="str">
        <f>"77372"</f>
        <v>77372</v>
      </c>
      <c r="B319" s="75" t="s">
        <v>319</v>
      </c>
      <c r="C319" s="13" t="str">
        <f>"27.4"</f>
        <v>27.4</v>
      </c>
      <c r="D319" s="15">
        <f>(C319*1.13274336283)+(-1)</f>
        <v>30.037168141542001</v>
      </c>
      <c r="E319" s="16">
        <f>(C319*1.09734513274)+(-3.7)</f>
        <v>26.367256637075997</v>
      </c>
      <c r="F319" s="17">
        <f>(C319*1.13274336283)+(-0.2)</f>
        <v>30.837168141542001</v>
      </c>
      <c r="G319" s="17">
        <f>(C319*1.09734513274)+(-2.6)</f>
        <v>27.467256637075995</v>
      </c>
    </row>
    <row r="320" spans="1:7" ht="19.95" customHeight="1" x14ac:dyDescent="0.25">
      <c r="A320" s="13" t="str">
        <f>"1010289"</f>
        <v>1010289</v>
      </c>
      <c r="B320" s="75" t="s">
        <v>320</v>
      </c>
      <c r="C320" s="13" t="str">
        <f>"33.1"</f>
        <v>33.1</v>
      </c>
      <c r="D320" s="15">
        <f>(C320*1.13274336283)+(-1)</f>
        <v>36.493805309673007</v>
      </c>
      <c r="E320" s="16">
        <f>(C320*1.09734513274)+(-3.7)</f>
        <v>32.622123893693995</v>
      </c>
      <c r="F320" s="17">
        <f>(C320*1.13274336283)+(-0.2)</f>
        <v>37.293805309673004</v>
      </c>
      <c r="G320" s="17">
        <f>(C320*1.09734513274)+(-2.6)</f>
        <v>33.722123893693997</v>
      </c>
    </row>
    <row r="321" spans="1:7" ht="19.95" customHeight="1" x14ac:dyDescent="0.25">
      <c r="A321" s="13" t="str">
        <f>"1000486"</f>
        <v>1000486</v>
      </c>
      <c r="B321" s="75" t="s">
        <v>321</v>
      </c>
      <c r="C321" s="13" t="str">
        <f>"43.6"</f>
        <v>43.6</v>
      </c>
      <c r="D321" s="15">
        <f>(C321*1.13274336283)+(-1)</f>
        <v>48.387610619388006</v>
      </c>
      <c r="E321" s="16">
        <f>(C321*1.09734513274)+(-3.7)</f>
        <v>44.144247787463996</v>
      </c>
      <c r="F321" s="17">
        <f>(C321*1.13274336283)+(-0.2)</f>
        <v>49.187610619388003</v>
      </c>
      <c r="G321" s="17">
        <f>(C321*1.09734513274)+(-2.6)</f>
        <v>45.244247787463998</v>
      </c>
    </row>
    <row r="322" spans="1:7" ht="19.95" customHeight="1" x14ac:dyDescent="0.25">
      <c r="A322" s="13" t="str">
        <f>"1000908"</f>
        <v>1000908</v>
      </c>
      <c r="B322" s="75" t="s">
        <v>322</v>
      </c>
      <c r="C322" s="13" t="str">
        <f>"18.5"</f>
        <v>18.5</v>
      </c>
      <c r="D322" s="15">
        <f>(C322*1.13274336283)+(-1)</f>
        <v>19.955752212355002</v>
      </c>
      <c r="E322" s="16">
        <f>(C322*1.09734513274)+(-3.7)</f>
        <v>16.600884955689999</v>
      </c>
      <c r="F322" s="17">
        <f>(C322*1.13274336283)+(-0.2)</f>
        <v>20.755752212355002</v>
      </c>
      <c r="G322" s="17">
        <f>(C322*1.09734513274)+(-2.6)</f>
        <v>17.700884955689997</v>
      </c>
    </row>
    <row r="323" spans="1:7" ht="19.95" customHeight="1" x14ac:dyDescent="0.25">
      <c r="A323" s="13" t="str">
        <f>"1000652"</f>
        <v>1000652</v>
      </c>
      <c r="B323" s="75" t="s">
        <v>323</v>
      </c>
      <c r="C323" s="13" t="str">
        <f>"40.4"</f>
        <v>40.4</v>
      </c>
      <c r="D323" s="15">
        <f>(C323*1.13274336283)+(-1)</f>
        <v>44.762831858332</v>
      </c>
      <c r="E323" s="16">
        <f>(C323*1.09734513274)+(-3.7)</f>
        <v>40.63274336269599</v>
      </c>
      <c r="F323" s="17">
        <f>(C323*1.13274336283)+(-0.2)</f>
        <v>45.562831858331997</v>
      </c>
      <c r="G323" s="17">
        <f>(C323*1.09734513274)+(-2.6)</f>
        <v>41.732743362695992</v>
      </c>
    </row>
    <row r="324" spans="1:7" ht="19.95" customHeight="1" x14ac:dyDescent="0.25">
      <c r="A324" s="13" t="str">
        <f>"52176"</f>
        <v>52176</v>
      </c>
      <c r="B324" s="75" t="s">
        <v>324</v>
      </c>
      <c r="C324" s="13" t="str">
        <f>"34.1"</f>
        <v>34.1</v>
      </c>
      <c r="D324" s="15">
        <f>(C324*1.13274336283)+(-1)</f>
        <v>37.626548672503006</v>
      </c>
      <c r="E324" s="16">
        <f>(C324*1.09734513274)+(-3.7)</f>
        <v>33.719469026433998</v>
      </c>
      <c r="F324" s="17">
        <f>(C324*1.13274336283)+(-0.2)</f>
        <v>38.426548672503003</v>
      </c>
      <c r="G324" s="17">
        <f>(C324*1.09734513274)+(-2.6)</f>
        <v>34.819469026434</v>
      </c>
    </row>
    <row r="325" spans="1:7" ht="19.95" customHeight="1" x14ac:dyDescent="0.25">
      <c r="A325" s="13" t="str">
        <f>"81149"</f>
        <v>81149</v>
      </c>
      <c r="B325" s="75" t="s">
        <v>325</v>
      </c>
      <c r="C325" s="13" t="str">
        <f>"26.7"</f>
        <v>26.7</v>
      </c>
      <c r="D325" s="15">
        <f>(C325*1.13274336283)+(-1)</f>
        <v>29.244247787561001</v>
      </c>
      <c r="E325" s="16">
        <f>(C325*1.09734513274)+(-3.7)</f>
        <v>25.599115044157998</v>
      </c>
      <c r="F325" s="17">
        <f>(C325*1.13274336283)+(-0.2)</f>
        <v>30.044247787561002</v>
      </c>
      <c r="G325" s="17">
        <f>(C325*1.09734513274)+(-2.6)</f>
        <v>26.699115044157995</v>
      </c>
    </row>
    <row r="326" spans="1:7" ht="19.95" customHeight="1" x14ac:dyDescent="0.25">
      <c r="A326" s="13" t="str">
        <f>"17642"</f>
        <v>17642</v>
      </c>
      <c r="B326" s="75" t="s">
        <v>326</v>
      </c>
      <c r="C326" s="13" t="str">
        <f>"25.9"</f>
        <v>25.9</v>
      </c>
      <c r="D326" s="15">
        <f>(C326*1.13274336283)+(-1)</f>
        <v>28.338053097296999</v>
      </c>
      <c r="E326" s="16">
        <f>(C326*1.09734513274)+(-3.7)</f>
        <v>24.721238937965996</v>
      </c>
      <c r="F326" s="17">
        <f>(C326*1.13274336283)+(-0.2)</f>
        <v>29.138053097297</v>
      </c>
      <c r="G326" s="17">
        <f>(C326*1.09734513274)+(-2.6)</f>
        <v>25.821238937965994</v>
      </c>
    </row>
    <row r="327" spans="1:7" ht="19.95" customHeight="1" x14ac:dyDescent="0.25">
      <c r="A327" s="13" t="str">
        <f>"68156"</f>
        <v>68156</v>
      </c>
      <c r="B327" s="75" t="s">
        <v>327</v>
      </c>
      <c r="C327" s="13" t="str">
        <f>"28.1"</f>
        <v>28.1</v>
      </c>
      <c r="D327" s="15">
        <f>(C327*1.13274336283)+(-1)</f>
        <v>30.830088495523004</v>
      </c>
      <c r="E327" s="16">
        <f>(C327*1.09734513274)+(-3.7)</f>
        <v>27.135398229993999</v>
      </c>
      <c r="F327" s="17">
        <f>(C327*1.13274336283)+(-0.2)</f>
        <v>31.630088495523005</v>
      </c>
      <c r="G327" s="17">
        <f>(C327*1.09734513274)+(-2.6)</f>
        <v>28.235398229993997</v>
      </c>
    </row>
    <row r="328" spans="1:7" ht="19.95" customHeight="1" x14ac:dyDescent="0.25">
      <c r="A328" s="13" t="str">
        <f>"1017276"</f>
        <v>1017276</v>
      </c>
      <c r="B328" s="75" t="s">
        <v>328</v>
      </c>
      <c r="C328" s="13" t="s">
        <v>76</v>
      </c>
      <c r="D328" s="15" t="s">
        <v>77</v>
      </c>
      <c r="E328" s="16" t="s">
        <v>77</v>
      </c>
      <c r="F328" s="17" t="s">
        <v>77</v>
      </c>
      <c r="G328" s="17" t="s">
        <v>77</v>
      </c>
    </row>
    <row r="329" spans="1:7" ht="19.95" customHeight="1" x14ac:dyDescent="0.25">
      <c r="A329" s="13" t="str">
        <f>"1017549"</f>
        <v>1017549</v>
      </c>
      <c r="B329" s="75" t="s">
        <v>1930</v>
      </c>
      <c r="C329" s="13" t="s">
        <v>76</v>
      </c>
      <c r="D329" s="15" t="s">
        <v>77</v>
      </c>
      <c r="E329" s="16" t="s">
        <v>77</v>
      </c>
      <c r="F329" s="17" t="s">
        <v>77</v>
      </c>
      <c r="G329" s="17" t="s">
        <v>77</v>
      </c>
    </row>
    <row r="330" spans="1:7" ht="19.95" customHeight="1" x14ac:dyDescent="0.25">
      <c r="A330" s="13" t="str">
        <f>"22478"</f>
        <v>22478</v>
      </c>
      <c r="B330" s="75" t="s">
        <v>329</v>
      </c>
      <c r="C330" s="13" t="str">
        <f>"24.5"</f>
        <v>24.5</v>
      </c>
      <c r="D330" s="15">
        <f>(C330*1.13274336283)+(-1)</f>
        <v>26.752212389335003</v>
      </c>
      <c r="E330" s="16">
        <f>(C330*1.09734513274)+(-3.7)</f>
        <v>23.184955752129998</v>
      </c>
      <c r="F330" s="17">
        <f>(C330*1.13274336283)+(-0.2)</f>
        <v>27.552212389335004</v>
      </c>
      <c r="G330" s="17">
        <f>(C330*1.09734513274)+(-2.6)</f>
        <v>24.284955752129996</v>
      </c>
    </row>
    <row r="331" spans="1:7" ht="20.100000000000001" customHeight="1" x14ac:dyDescent="0.25">
      <c r="A331" s="13" t="str">
        <f>"1009743"</f>
        <v>1009743</v>
      </c>
      <c r="B331" s="75" t="s">
        <v>330</v>
      </c>
      <c r="C331" s="13" t="s">
        <v>76</v>
      </c>
      <c r="D331" s="15" t="s">
        <v>77</v>
      </c>
      <c r="E331" s="16" t="s">
        <v>77</v>
      </c>
      <c r="F331" s="17" t="s">
        <v>77</v>
      </c>
      <c r="G331" s="17" t="s">
        <v>77</v>
      </c>
    </row>
    <row r="332" spans="1:7" ht="20.100000000000001" customHeight="1" x14ac:dyDescent="0.25">
      <c r="A332" s="13" t="str">
        <f>"11054"</f>
        <v>11054</v>
      </c>
      <c r="B332" s="75" t="s">
        <v>331</v>
      </c>
      <c r="C332" s="13" t="str">
        <f>"15.8"</f>
        <v>15.8</v>
      </c>
      <c r="D332" s="15">
        <f>(C332*1.13274336283)+(-1)</f>
        <v>16.897345132714001</v>
      </c>
      <c r="E332" s="16">
        <f>(C332*1.09734513274)+(-3.7)</f>
        <v>13.638053097292001</v>
      </c>
      <c r="F332" s="17">
        <f>(C332*1.13274336283)+(-0.2)</f>
        <v>17.697345132714002</v>
      </c>
      <c r="G332" s="17">
        <f>(C332*1.09734513274)+(-2.6)</f>
        <v>14.738053097292001</v>
      </c>
    </row>
    <row r="333" spans="1:7" ht="20.100000000000001" customHeight="1" x14ac:dyDescent="0.25">
      <c r="A333" s="13" t="str">
        <f>"17646"</f>
        <v>17646</v>
      </c>
      <c r="B333" s="75" t="s">
        <v>332</v>
      </c>
      <c r="C333" s="13" t="str">
        <f>"29.1"</f>
        <v>29.1</v>
      </c>
      <c r="D333" s="15">
        <f>(C333*1.13274336283)+(-1)</f>
        <v>31.962831858353006</v>
      </c>
      <c r="E333" s="16">
        <f>(C333*1.09734513274)+(-3.7)</f>
        <v>28.232743362733999</v>
      </c>
      <c r="F333" s="17">
        <f>(C333*1.13274336283)+(-0.2)</f>
        <v>32.762831858353003</v>
      </c>
      <c r="G333" s="17">
        <f>(C333*1.09734513274)+(-2.6)</f>
        <v>29.332743362733996</v>
      </c>
    </row>
    <row r="334" spans="1:7" ht="20.100000000000001" customHeight="1" x14ac:dyDescent="0.25">
      <c r="A334" s="13" t="str">
        <f>"1004844"</f>
        <v>1004844</v>
      </c>
      <c r="B334" s="75" t="s">
        <v>333</v>
      </c>
      <c r="C334" s="13" t="str">
        <f>"39.0"</f>
        <v>39.0</v>
      </c>
      <c r="D334" s="15">
        <f>(C334*1.13274336283)+(-1)</f>
        <v>43.176991150370007</v>
      </c>
      <c r="E334" s="16">
        <f>(C334*1.09734513274)+(-3.7)</f>
        <v>39.096460176859992</v>
      </c>
      <c r="F334" s="17">
        <f>(C334*1.13274336283)+(-0.2)</f>
        <v>43.976991150370004</v>
      </c>
      <c r="G334" s="17">
        <f>(C334*1.09734513274)+(-2.6)</f>
        <v>40.196460176859993</v>
      </c>
    </row>
    <row r="335" spans="1:7" ht="20.100000000000001" customHeight="1" x14ac:dyDescent="0.25">
      <c r="A335" s="13" t="str">
        <f>"49264"</f>
        <v>49264</v>
      </c>
      <c r="B335" s="75" t="s">
        <v>334</v>
      </c>
      <c r="C335" s="13" t="str">
        <f>"17.5"</f>
        <v>17.5</v>
      </c>
      <c r="D335" s="15">
        <f>(C335*1.13274336283)+(-1)</f>
        <v>18.823008849525003</v>
      </c>
      <c r="E335" s="16">
        <f>(C335*1.09734513274)+(-3.7)</f>
        <v>15.50353982295</v>
      </c>
      <c r="F335" s="17">
        <f>(C335*1.13274336283)+(-0.2)</f>
        <v>19.623008849525004</v>
      </c>
      <c r="G335" s="17">
        <f>(C335*1.09734513274)+(-2.6)</f>
        <v>16.603539822949998</v>
      </c>
    </row>
    <row r="336" spans="1:7" ht="20.100000000000001" customHeight="1" x14ac:dyDescent="0.25">
      <c r="A336" s="13" t="str">
        <f>"1007874"</f>
        <v>1007874</v>
      </c>
      <c r="B336" s="75" t="s">
        <v>335</v>
      </c>
      <c r="C336" s="13" t="str">
        <f>"31.6"</f>
        <v>31.6</v>
      </c>
      <c r="D336" s="15">
        <f>(C336*1.13274336283)+(-1)</f>
        <v>34.794690265428002</v>
      </c>
      <c r="E336" s="16">
        <f>(C336*1.09734513274)+(-3.7)</f>
        <v>30.976106194584002</v>
      </c>
      <c r="F336" s="17">
        <f>(C336*1.13274336283)+(-0.2)</f>
        <v>35.594690265428</v>
      </c>
      <c r="G336" s="17">
        <f>(C336*1.09734513274)+(-2.6)</f>
        <v>32.076106194584</v>
      </c>
    </row>
    <row r="337" spans="1:7" ht="20.100000000000001" customHeight="1" x14ac:dyDescent="0.25">
      <c r="A337" s="13" t="str">
        <f>"39337"</f>
        <v>39337</v>
      </c>
      <c r="B337" s="75" t="s">
        <v>336</v>
      </c>
      <c r="C337" s="13" t="str">
        <f>"19.0"</f>
        <v>19.0</v>
      </c>
      <c r="D337" s="15">
        <f>(C337*1.13274336283)+(-1)</f>
        <v>20.522123893770001</v>
      </c>
      <c r="E337" s="16">
        <f>(C337*1.09734513274)+(-3.7)</f>
        <v>17.14955752206</v>
      </c>
      <c r="F337" s="17">
        <f>(C337*1.13274336283)+(-0.2)</f>
        <v>21.322123893770002</v>
      </c>
      <c r="G337" s="17">
        <f>(C337*1.09734513274)+(-2.6)</f>
        <v>18.249557522059998</v>
      </c>
    </row>
    <row r="338" spans="1:7" ht="20.100000000000001" customHeight="1" x14ac:dyDescent="0.25">
      <c r="A338" s="13" t="str">
        <f>"17650"</f>
        <v>17650</v>
      </c>
      <c r="B338" s="75" t="s">
        <v>337</v>
      </c>
      <c r="C338" s="13" t="str">
        <f>"25.4"</f>
        <v>25.4</v>
      </c>
      <c r="D338" s="15">
        <f>(C338*1.13274336283)+(-1)</f>
        <v>27.771681415882</v>
      </c>
      <c r="E338" s="16">
        <f>(C338*1.09734513274)+(-3.7)</f>
        <v>24.172566371595998</v>
      </c>
      <c r="F338" s="17">
        <f>(C338*1.13274336283)+(-0.2)</f>
        <v>28.571681415882001</v>
      </c>
      <c r="G338" s="17">
        <f>(C338*1.09734513274)+(-2.6)</f>
        <v>25.272566371595996</v>
      </c>
    </row>
    <row r="339" spans="1:7" ht="20.100000000000001" customHeight="1" x14ac:dyDescent="0.25">
      <c r="A339" s="13" t="str">
        <f>"10126"</f>
        <v>10126</v>
      </c>
      <c r="B339" s="75" t="s">
        <v>338</v>
      </c>
      <c r="C339" s="13" t="str">
        <f>"15.7"</f>
        <v>15.7</v>
      </c>
      <c r="D339" s="15">
        <f>(C339*1.13274336283)+(-1)</f>
        <v>16.784070796430999</v>
      </c>
      <c r="E339" s="16">
        <f>(C339*1.09734513274)+(-3.7)</f>
        <v>13.528318584017999</v>
      </c>
      <c r="F339" s="17">
        <f>(C339*1.13274336283)+(-0.2)</f>
        <v>17.584070796431</v>
      </c>
      <c r="G339" s="17">
        <f>(C339*1.09734513274)+(-2.6)</f>
        <v>14.628318584017999</v>
      </c>
    </row>
    <row r="340" spans="1:7" ht="19.95" customHeight="1" x14ac:dyDescent="0.25">
      <c r="A340" s="13" t="str">
        <f>"1015486"</f>
        <v>1015486</v>
      </c>
      <c r="B340" s="75" t="s">
        <v>339</v>
      </c>
      <c r="C340" s="13" t="s">
        <v>76</v>
      </c>
      <c r="D340" s="15" t="s">
        <v>77</v>
      </c>
      <c r="E340" s="16" t="s">
        <v>77</v>
      </c>
      <c r="F340" s="17" t="s">
        <v>77</v>
      </c>
      <c r="G340" s="17" t="s">
        <v>77</v>
      </c>
    </row>
    <row r="341" spans="1:7" ht="19.95" customHeight="1" x14ac:dyDescent="0.25">
      <c r="A341" s="13" t="str">
        <f>"68849"</f>
        <v>68849</v>
      </c>
      <c r="B341" s="75" t="s">
        <v>340</v>
      </c>
      <c r="C341" s="13" t="str">
        <f>"23.2"</f>
        <v>23.2</v>
      </c>
      <c r="D341" s="15">
        <f>(C341*1.13274336283)+(-1)</f>
        <v>25.279646017656002</v>
      </c>
      <c r="E341" s="16">
        <f>(C341*1.09734513274)+(-3.7)</f>
        <v>21.758407079567998</v>
      </c>
      <c r="F341" s="17">
        <f>(C341*1.13274336283)+(-0.2)</f>
        <v>26.079646017656003</v>
      </c>
      <c r="G341" s="17">
        <f>(C341*1.09734513274)+(-2.6)</f>
        <v>22.858407079567996</v>
      </c>
    </row>
    <row r="342" spans="1:7" ht="19.95" customHeight="1" x14ac:dyDescent="0.25">
      <c r="A342" s="13" t="str">
        <f>"21311"</f>
        <v>21311</v>
      </c>
      <c r="B342" s="75" t="s">
        <v>341</v>
      </c>
      <c r="C342" s="13" t="str">
        <f>"34.8"</f>
        <v>34.8</v>
      </c>
      <c r="D342" s="15">
        <f>(C342*1.13274336283)+(-1)</f>
        <v>38.419469026484002</v>
      </c>
      <c r="E342" s="16">
        <f>(C342*1.09734513274)+(-3.7)</f>
        <v>34.48761061935199</v>
      </c>
      <c r="F342" s="17">
        <f>(C342*1.13274336283)+(-0.2)</f>
        <v>39.219469026483999</v>
      </c>
      <c r="G342" s="17">
        <f>(C342*1.09734513274)+(-2.6)</f>
        <v>35.587610619351992</v>
      </c>
    </row>
    <row r="343" spans="1:7" ht="19.95" customHeight="1" x14ac:dyDescent="0.25">
      <c r="A343" s="13" t="str">
        <f>"74970"</f>
        <v>74970</v>
      </c>
      <c r="B343" s="75" t="s">
        <v>342</v>
      </c>
      <c r="C343" s="13" t="str">
        <f>"24.7"</f>
        <v>24.7</v>
      </c>
      <c r="D343" s="15">
        <f>(C343*1.13274336283)+(-1)</f>
        <v>26.978761061901</v>
      </c>
      <c r="E343" s="16">
        <f>(C343*1.09734513274)+(-3.7)</f>
        <v>23.404424778677999</v>
      </c>
      <c r="F343" s="17">
        <f>(C343*1.13274336283)+(-0.2)</f>
        <v>27.778761061901001</v>
      </c>
      <c r="G343" s="17">
        <f>(C343*1.09734513274)+(-2.6)</f>
        <v>24.504424778677997</v>
      </c>
    </row>
    <row r="344" spans="1:7" ht="19.95" customHeight="1" x14ac:dyDescent="0.25">
      <c r="A344" s="13" t="str">
        <f>"74966"</f>
        <v>74966</v>
      </c>
      <c r="B344" s="75" t="s">
        <v>343</v>
      </c>
      <c r="C344" s="13" t="str">
        <f>"19.8"</f>
        <v>19.8</v>
      </c>
      <c r="D344" s="15">
        <f>(C344*1.13274336283)+(-1)</f>
        <v>21.428318584034002</v>
      </c>
      <c r="E344" s="16">
        <f>(C344*1.09734513274)+(-3.7)</f>
        <v>18.027433628251998</v>
      </c>
      <c r="F344" s="17">
        <f>(C344*1.13274336283)+(-0.2)</f>
        <v>22.228318584034003</v>
      </c>
      <c r="G344" s="17">
        <f>(C344*1.09734513274)+(-2.6)</f>
        <v>19.127433628251996</v>
      </c>
    </row>
    <row r="345" spans="1:7" ht="19.95" customHeight="1" x14ac:dyDescent="0.25">
      <c r="A345" s="13" t="str">
        <f>"20003"</f>
        <v>20003</v>
      </c>
      <c r="B345" s="75" t="s">
        <v>344</v>
      </c>
      <c r="C345" s="13" t="str">
        <f>"24.7"</f>
        <v>24.7</v>
      </c>
      <c r="D345" s="15">
        <f>(C345*1.13274336283)+(-1)</f>
        <v>26.978761061901</v>
      </c>
      <c r="E345" s="16">
        <f>(C345*1.09734513274)+(-3.7)</f>
        <v>23.404424778677999</v>
      </c>
      <c r="F345" s="17">
        <f>(C345*1.13274336283)+(-0.2)</f>
        <v>27.778761061901001</v>
      </c>
      <c r="G345" s="17">
        <f>(C345*1.09734513274)+(-2.6)</f>
        <v>24.504424778677997</v>
      </c>
    </row>
    <row r="346" spans="1:7" ht="19.95" customHeight="1" x14ac:dyDescent="0.25">
      <c r="A346" s="13" t="str">
        <f>"73797"</f>
        <v>73797</v>
      </c>
      <c r="B346" s="75" t="s">
        <v>345</v>
      </c>
      <c r="C346" s="13" t="str">
        <f>"21.8"</f>
        <v>21.8</v>
      </c>
      <c r="D346" s="15">
        <f>(C346*1.13274336283)+(-1)</f>
        <v>23.693805309694003</v>
      </c>
      <c r="E346" s="16">
        <f>(C346*1.09734513274)+(-3.7)</f>
        <v>20.222123893732</v>
      </c>
      <c r="F346" s="17">
        <f>(C346*1.13274336283)+(-0.2)</f>
        <v>24.493805309694004</v>
      </c>
      <c r="G346" s="17">
        <f>(C346*1.09734513274)+(-2.6)</f>
        <v>21.322123893731998</v>
      </c>
    </row>
    <row r="347" spans="1:7" ht="19.95" customHeight="1" x14ac:dyDescent="0.25">
      <c r="A347" s="13" t="str">
        <f>"80337"</f>
        <v>80337</v>
      </c>
      <c r="B347" s="75" t="s">
        <v>346</v>
      </c>
      <c r="C347" s="13" t="str">
        <f>"36.6"</f>
        <v>36.6</v>
      </c>
      <c r="D347" s="15">
        <f>(C347*1.13274336283)+(-1)</f>
        <v>40.458407079578002</v>
      </c>
      <c r="E347" s="16">
        <f>(C347*1.09734513274)+(-3.7)</f>
        <v>36.462831858283998</v>
      </c>
      <c r="F347" s="17">
        <f>(C347*1.13274336283)+(-0.2)</f>
        <v>41.258407079577999</v>
      </c>
      <c r="G347" s="17">
        <f>(C347*1.09734513274)+(-2.6)</f>
        <v>37.562831858284</v>
      </c>
    </row>
    <row r="348" spans="1:7" ht="19.95" customHeight="1" x14ac:dyDescent="0.25">
      <c r="A348" s="13" t="str">
        <f>"17653"</f>
        <v>17653</v>
      </c>
      <c r="B348" s="75" t="s">
        <v>347</v>
      </c>
      <c r="C348" s="13" t="str">
        <f>"24.8"</f>
        <v>24.8</v>
      </c>
      <c r="D348" s="15">
        <f>(C348*1.13274336283)+(-1)</f>
        <v>27.092035398184002</v>
      </c>
      <c r="E348" s="16">
        <f>(C348*1.09734513274)+(-3.7)</f>
        <v>23.514159291951998</v>
      </c>
      <c r="F348" s="17">
        <f>(C348*1.13274336283)+(-0.2)</f>
        <v>27.892035398184003</v>
      </c>
      <c r="G348" s="17">
        <f>(C348*1.09734513274)+(-2.6)</f>
        <v>24.614159291951996</v>
      </c>
    </row>
    <row r="349" spans="1:7" ht="19.95" customHeight="1" x14ac:dyDescent="0.25">
      <c r="A349" s="13" t="str">
        <f>"17655"</f>
        <v>17655</v>
      </c>
      <c r="B349" s="75" t="s">
        <v>348</v>
      </c>
      <c r="C349" s="13" t="str">
        <f>"30.3"</f>
        <v>30.3</v>
      </c>
      <c r="D349" s="15">
        <f>(C349*1.13274336283)+(-1)</f>
        <v>33.322123893749001</v>
      </c>
      <c r="E349" s="16">
        <f>(C349*1.09734513274)+(-3.7)</f>
        <v>29.549557522021995</v>
      </c>
      <c r="F349" s="17">
        <f>(C349*1.13274336283)+(-0.2)</f>
        <v>34.122123893748999</v>
      </c>
      <c r="G349" s="17">
        <f>(C349*1.09734513274)+(-2.6)</f>
        <v>30.649557522021993</v>
      </c>
    </row>
    <row r="350" spans="1:7" ht="19.95" customHeight="1" x14ac:dyDescent="0.25">
      <c r="A350" s="13" t="str">
        <f>"1000363"</f>
        <v>1000363</v>
      </c>
      <c r="B350" s="75" t="s">
        <v>349</v>
      </c>
      <c r="C350" s="13" t="str">
        <f>"20.2"</f>
        <v>20.2</v>
      </c>
      <c r="D350" s="15">
        <f>(C350*1.13274336283)+(-1)</f>
        <v>21.881415929166</v>
      </c>
      <c r="E350" s="16">
        <f>(C350*1.09734513274)+(-3.7)</f>
        <v>18.466371681347997</v>
      </c>
      <c r="F350" s="17">
        <f>(C350*1.13274336283)+(-0.2)</f>
        <v>22.681415929166</v>
      </c>
      <c r="G350" s="17">
        <f>(C350*1.09734513274)+(-2.6)</f>
        <v>19.566371681347995</v>
      </c>
    </row>
    <row r="351" spans="1:7" ht="19.95" customHeight="1" x14ac:dyDescent="0.25">
      <c r="A351" s="13" t="str">
        <f>"17658"</f>
        <v>17658</v>
      </c>
      <c r="B351" s="75" t="s">
        <v>350</v>
      </c>
      <c r="C351" s="13" t="str">
        <f>"29.8"</f>
        <v>29.8</v>
      </c>
      <c r="D351" s="15">
        <f>(C351*1.13274336283)+(-1)</f>
        <v>32.755752212334002</v>
      </c>
      <c r="E351" s="16">
        <f>(C351*1.09734513274)+(-3.7)</f>
        <v>29.000884955652001</v>
      </c>
      <c r="F351" s="17">
        <f>(C351*1.13274336283)+(-0.2)</f>
        <v>33.555752212333999</v>
      </c>
      <c r="G351" s="17">
        <f>(C351*1.09734513274)+(-2.6)</f>
        <v>30.100884955651999</v>
      </c>
    </row>
    <row r="352" spans="1:7" ht="19.95" customHeight="1" x14ac:dyDescent="0.25">
      <c r="A352" s="13" t="str">
        <f>"1007621"</f>
        <v>1007621</v>
      </c>
      <c r="B352" s="75" t="s">
        <v>351</v>
      </c>
      <c r="C352" s="13" t="str">
        <f>"34.4"</f>
        <v>34.4</v>
      </c>
      <c r="D352" s="15">
        <f>(C352*1.13274336283)+(-1)</f>
        <v>37.966371681352001</v>
      </c>
      <c r="E352" s="16">
        <f>(C352*1.09734513274)+(-3.7)</f>
        <v>34.048672566255995</v>
      </c>
      <c r="F352" s="17">
        <f>(C352*1.13274336283)+(-0.2)</f>
        <v>38.766371681351998</v>
      </c>
      <c r="G352" s="17">
        <f>(C352*1.09734513274)+(-2.6)</f>
        <v>35.148672566255996</v>
      </c>
    </row>
    <row r="353" spans="1:7" ht="19.8" customHeight="1" x14ac:dyDescent="0.25">
      <c r="A353" s="13" t="str">
        <f>"1011740"</f>
        <v>1011740</v>
      </c>
      <c r="B353" s="75" t="s">
        <v>352</v>
      </c>
      <c r="C353" s="13" t="str">
        <f>"13.0"</f>
        <v>13.0</v>
      </c>
      <c r="D353" s="15">
        <f>(C353*1.13274336283)+(-1)</f>
        <v>13.725663716790001</v>
      </c>
      <c r="E353" s="16">
        <f>(C353*1.09734513274)+(-3.7)</f>
        <v>10.565486725619998</v>
      </c>
      <c r="F353" s="17">
        <f>(C353*1.13274336283)+(-0.2)</f>
        <v>14.525663716790001</v>
      </c>
      <c r="G353" s="17">
        <f>(C353*1.09734513274)+(-2.6)</f>
        <v>11.665486725619999</v>
      </c>
    </row>
    <row r="354" spans="1:7" ht="19.8" customHeight="1" x14ac:dyDescent="0.25">
      <c r="A354" s="13" t="str">
        <f>"1014415"</f>
        <v>1014415</v>
      </c>
      <c r="B354" s="75" t="s">
        <v>353</v>
      </c>
      <c r="C354" s="13" t="str">
        <f>"25.8"</f>
        <v>25.8</v>
      </c>
      <c r="D354" s="15">
        <f>(C354*1.13274336283)+(-1)</f>
        <v>28.224778761014004</v>
      </c>
      <c r="E354" s="16">
        <f>(C354*1.09734513274)+(-3.7)</f>
        <v>24.611504424691997</v>
      </c>
      <c r="F354" s="17">
        <f>(C354*1.13274336283)+(-0.2)</f>
        <v>29.024778761014005</v>
      </c>
      <c r="G354" s="17">
        <f>(C354*1.09734513274)+(-2.6)</f>
        <v>25.711504424691995</v>
      </c>
    </row>
    <row r="355" spans="1:7" ht="19.8" customHeight="1" x14ac:dyDescent="0.25">
      <c r="A355" s="13" t="str">
        <f>"5111"</f>
        <v>5111</v>
      </c>
      <c r="B355" s="75" t="s">
        <v>354</v>
      </c>
      <c r="C355" s="13" t="str">
        <f>"20.8"</f>
        <v>20.8</v>
      </c>
      <c r="D355" s="15">
        <f>(C355*1.13274336283)+(-1)</f>
        <v>22.561061946864005</v>
      </c>
      <c r="E355" s="16">
        <f>(C355*1.09734513274)+(-3.7)</f>
        <v>19.124778760992001</v>
      </c>
      <c r="F355" s="17">
        <f>(C355*1.13274336283)+(-0.2)</f>
        <v>23.361061946864005</v>
      </c>
      <c r="G355" s="17">
        <f>(C355*1.09734513274)+(-2.6)</f>
        <v>20.224778760991999</v>
      </c>
    </row>
    <row r="356" spans="1:7" ht="19.8" customHeight="1" x14ac:dyDescent="0.25">
      <c r="A356" s="13" t="str">
        <f>"1017703"</f>
        <v>1017703</v>
      </c>
      <c r="B356" s="75" t="s">
        <v>1931</v>
      </c>
      <c r="C356" s="13" t="str">
        <f>"33.7"</f>
        <v>33.7</v>
      </c>
      <c r="D356" s="15">
        <f>(C356*1.13274336283)+(-1)</f>
        <v>37.173451327371005</v>
      </c>
      <c r="E356" s="16">
        <f>(C356*1.09734513274)+(-3.7)</f>
        <v>33.280530973337996</v>
      </c>
      <c r="F356" s="17">
        <f>(C356*1.13274336283)+(-0.2)</f>
        <v>37.973451327371002</v>
      </c>
      <c r="G356" s="17">
        <f>(C356*1.09734513274)+(-2.6)</f>
        <v>34.380530973337997</v>
      </c>
    </row>
    <row r="357" spans="1:7" ht="19.8" customHeight="1" x14ac:dyDescent="0.25">
      <c r="A357" s="13" t="str">
        <f>"1013584"</f>
        <v>1013584</v>
      </c>
      <c r="B357" s="75" t="s">
        <v>355</v>
      </c>
      <c r="C357" s="13" t="str">
        <f>"14.3"</f>
        <v>14.3</v>
      </c>
      <c r="D357" s="15">
        <f>(C357*1.13274336283)+(-1)</f>
        <v>15.198230088469003</v>
      </c>
      <c r="E357" s="16">
        <f>(C357*1.09734513274)+(-3.7)</f>
        <v>11.992035398182001</v>
      </c>
      <c r="F357" s="17">
        <f>(C357*1.13274336283)+(-0.2)</f>
        <v>15.998230088469004</v>
      </c>
      <c r="G357" s="17">
        <f>(C357*1.09734513274)+(-2.6)</f>
        <v>13.092035398182</v>
      </c>
    </row>
    <row r="358" spans="1:7" ht="19.8" customHeight="1" x14ac:dyDescent="0.25">
      <c r="A358" s="13" t="str">
        <f>"1003201"</f>
        <v>1003201</v>
      </c>
      <c r="B358" s="75" t="s">
        <v>356</v>
      </c>
      <c r="C358" s="13" t="str">
        <f>"27.3000"</f>
        <v>27.3000</v>
      </c>
      <c r="D358" s="15">
        <f>(C358*1.13274336283)+(-1)</f>
        <v>29.923893805259002</v>
      </c>
      <c r="E358" s="16">
        <f>(C358*1.09734513274)+(-3.7)</f>
        <v>26.257522123801998</v>
      </c>
      <c r="F358" s="17">
        <f>(C358*1.13274336283)+(-0.2)</f>
        <v>30.723893805259003</v>
      </c>
      <c r="G358" s="17">
        <f>(C358*1.09734513274)+(-2.6)</f>
        <v>27.357522123801996</v>
      </c>
    </row>
    <row r="359" spans="1:7" ht="19.8" customHeight="1" x14ac:dyDescent="0.25">
      <c r="A359" s="13" t="str">
        <f>"17659"</f>
        <v>17659</v>
      </c>
      <c r="B359" s="75" t="s">
        <v>357</v>
      </c>
      <c r="C359" s="13" t="str">
        <f>"14.2"</f>
        <v>14.2</v>
      </c>
      <c r="D359" s="15">
        <f>(C359*1.13274336283)+(-1)</f>
        <v>15.084955752186001</v>
      </c>
      <c r="E359" s="16">
        <f>(C359*1.09734513274)+(-3.7)</f>
        <v>11.882300884907998</v>
      </c>
      <c r="F359" s="17">
        <f>(C359*1.13274336283)+(-0.2)</f>
        <v>15.884955752186002</v>
      </c>
      <c r="G359" s="17">
        <f>(C359*1.09734513274)+(-2.6)</f>
        <v>12.982300884907998</v>
      </c>
    </row>
    <row r="360" spans="1:7" ht="19.8" customHeight="1" x14ac:dyDescent="0.25"/>
    <row r="361" spans="1:7" ht="19.8" customHeight="1" x14ac:dyDescent="0.25"/>
    <row r="362" spans="1:7" ht="19.8" customHeight="1" x14ac:dyDescent="0.25"/>
    <row r="363" spans="1:7" ht="19.8" customHeight="1" x14ac:dyDescent="0.25"/>
    <row r="364" spans="1:7" ht="19.8" customHeight="1" x14ac:dyDescent="0.25"/>
    <row r="365" spans="1:7" ht="19.8" customHeight="1" x14ac:dyDescent="0.25"/>
  </sheetData>
  <sortState xmlns:xlrd2="http://schemas.microsoft.com/office/spreadsheetml/2017/richdata2" ref="A8:K353">
    <sortCondition ref="B8:B353"/>
  </sortState>
  <mergeCells count="10">
    <mergeCell ref="A1:G1"/>
    <mergeCell ref="A2:G2"/>
    <mergeCell ref="A3:G3"/>
    <mergeCell ref="A5:A7"/>
    <mergeCell ref="B5:B7"/>
    <mergeCell ref="C5:C7"/>
    <mergeCell ref="D5:E5"/>
    <mergeCell ref="F5:G5"/>
    <mergeCell ref="D6:E6"/>
    <mergeCell ref="F6:G6"/>
  </mergeCells>
  <pageMargins left="0.17" right="0.17" top="0.75" bottom="0.43" header="0.3" footer="0.3"/>
  <pageSetup scale="87" fitToHeight="10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MENS</vt:lpstr>
      <vt:lpstr>LADIES</vt:lpstr>
      <vt:lpstr>LADIES!Print_Titles</vt:lpstr>
      <vt:lpstr>MENS!Print_Titles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orchardgo@gmail.com</dc:creator>
  <cp:lastModifiedBy>orchardgo@gmail.com</cp:lastModifiedBy>
  <cp:lastPrinted>2026-09-16T22:57:27Z</cp:lastPrinted>
  <dcterms:created xsi:type="dcterms:W3CDTF">2026-09-01T22:15:28Z</dcterms:created>
  <dcterms:modified xsi:type="dcterms:W3CDTF">2026-09-16T22:59:59Z</dcterms:modified>
</cp:coreProperties>
</file>